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1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7"/>
  <workbookPr codeName="ThisWorkbook"/>
  <mc:AlternateContent xmlns:mc="http://schemas.openxmlformats.org/markup-compatibility/2006">
    <mc:Choice Requires="x15">
      <x15ac:absPath xmlns:x15ac="http://schemas.microsoft.com/office/spreadsheetml/2010/11/ac" url="/Users/lada/Desktop/"/>
    </mc:Choice>
  </mc:AlternateContent>
  <xr:revisionPtr revIDLastSave="0" documentId="13_ncr:1_{54010EB1-8334-A44D-918E-42DD5DAB0815}" xr6:coauthVersionLast="47" xr6:coauthVersionMax="47" xr10:uidLastSave="{00000000-0000-0000-0000-000000000000}"/>
  <bookViews>
    <workbookView xWindow="0" yWindow="500" windowWidth="28800" windowHeight="16060" tabRatio="852" activeTab="2" xr2:uid="{00000000-000D-0000-FFFF-FFFF00000000}"/>
  </bookViews>
  <sheets>
    <sheet name="cennik" sheetId="40" state="hidden" r:id="rId1"/>
    <sheet name="texty" sheetId="39" state="hidden" r:id="rId2"/>
    <sheet name="profil" sheetId="77" r:id="rId3"/>
    <sheet name="Pax" sheetId="72" r:id="rId4"/>
    <sheet name="System10" sheetId="3" r:id="rId5"/>
    <sheet name="Vitara" sheetId="86" r:id="rId6"/>
    <sheet name="Lynx" sheetId="85" r:id="rId7"/>
    <sheet name="data" sheetId="1" state="hidden" r:id="rId8"/>
    <sheet name="Gemini" sheetId="4" r:id="rId9"/>
    <sheet name="Lux" sheetId="30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Prosper" sheetId="37" r:id="rId19"/>
    <sheet name="Rex" sheetId="74" r:id="rId20"/>
    <sheet name="Alfa II" sheetId="56" r:id="rId21"/>
    <sheet name="Faworyt" sheetId="8" r:id="rId22"/>
    <sheet name="Tytan" sheetId="18" r:id="rId23"/>
    <sheet name="Oaza II" sheetId="19" r:id="rId24"/>
    <sheet name="Victoria" sheetId="17" r:id="rId25"/>
    <sheet name="Factor 18 II" sheetId="20" r:id="rId26"/>
    <sheet name="Beta" sheetId="70" r:id="rId27"/>
    <sheet name="Focus II" sheetId="33" r:id="rId28"/>
    <sheet name="Ergo" sheetId="44" r:id="rId29"/>
    <sheet name="Fiona II" sheetId="48" r:id="rId30"/>
    <sheet name="Universal" sheetId="34" r:id="rId31"/>
    <sheet name="Orient" sheetId="46" r:id="rId32"/>
    <sheet name="Elegant" sheetId="47" r:id="rId33"/>
    <sheet name="Minicomfort II" sheetId="58" r:id="rId34"/>
    <sheet name="Comfort II" sheetId="62" r:id="rId35"/>
    <sheet name="Unicomfort II" sheetId="61" r:id="rId36"/>
    <sheet name="Era (bezrámová)" sheetId="80" r:id="rId37"/>
    <sheet name="Rekord (bezrámový)" sheetId="81" r:id="rId38"/>
    <sheet name="Era (rámová)" sheetId="53" r:id="rId39"/>
    <sheet name="Rekord (rámový)" sheetId="78" r:id="rId40"/>
    <sheet name="sys.10mm" sheetId="41" r:id="rId41"/>
    <sheet name="sys. 18mm" sheetId="42" r:id="rId42"/>
    <sheet name="sys. Pax" sheetId="75" r:id="rId43"/>
    <sheet name="Blue 10 mm" sheetId="82" r:id="rId44"/>
    <sheet name="Blue 18 mm (rámový)" sheetId="83" r:id="rId45"/>
    <sheet name="Blue 18 mm (bezrámový)" sheetId="84" r:id="rId46"/>
    <sheet name="příslušenství" sheetId="57" r:id="rId47"/>
  </sheets>
  <definedNames>
    <definedName name="_xlnm._FilterDatabase" localSheetId="0" hidden="1">cennik!$A$1:$T$944</definedName>
    <definedName name="_xlnm._FilterDatabase" localSheetId="7" hidden="1">data!$A$2:$F$687</definedName>
    <definedName name="_xlnm._FilterDatabase" localSheetId="3" hidden="1">Pax!$A$2:$I$12</definedName>
    <definedName name="_xlnm._FilterDatabase" localSheetId="1" hidden="1">texty!$A$1:$L$213</definedName>
    <definedName name="barva" localSheetId="10">Fox!$E$4</definedName>
    <definedName name="barva" localSheetId="9">Lux!$E$4</definedName>
    <definedName name="barva" localSheetId="3">Pax!$E$4</definedName>
    <definedName name="barva" localSheetId="5">Vitara!$E$4</definedName>
    <definedName name="barva">System10!$E$4</definedName>
    <definedName name="barva_4" localSheetId="6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4">'Comfort II'!$E$4</definedName>
    <definedName name="barva_7" localSheetId="36">'Era (bezrámová)'!$E$4</definedName>
    <definedName name="barva_7" localSheetId="38">'Era (rámová)'!$E$4</definedName>
    <definedName name="barva_7" localSheetId="16">Fala!$E$4</definedName>
    <definedName name="barva_7" localSheetId="14">Master!$E$4</definedName>
    <definedName name="barva_7" localSheetId="33">'Minicomfort II'!$E$4</definedName>
    <definedName name="barva_7" localSheetId="17">Polo!$E$4</definedName>
    <definedName name="barva_7" localSheetId="37">'Rekord (bezrámový)'!$E$4</definedName>
    <definedName name="barva_7" localSheetId="39">'Rekord (rámový)'!$E$4</definedName>
    <definedName name="barva_7" localSheetId="35">'Unicomfort II'!$E$4</definedName>
    <definedName name="barva_7">Future!$E$4</definedName>
    <definedName name="barva_8" localSheetId="20">'Alfa II'!$E$4</definedName>
    <definedName name="barva_8" localSheetId="26">Beta!$E$4</definedName>
    <definedName name="barva_8" localSheetId="32">Elegant!$E$4</definedName>
    <definedName name="barva_8" localSheetId="28">Ergo!$E$4</definedName>
    <definedName name="barva_8" localSheetId="25">'Factor 18 II'!$E$4</definedName>
    <definedName name="barva_8" localSheetId="29">'Fiona II'!$E$4</definedName>
    <definedName name="barva_8" localSheetId="27">'Focus II'!$E$4</definedName>
    <definedName name="barva_8" localSheetId="23">'Oaza II'!$E$4</definedName>
    <definedName name="barva_8" localSheetId="31">Orient!$E$4</definedName>
    <definedName name="barva_8" localSheetId="18">Prosper!$E$4</definedName>
    <definedName name="barva_8" localSheetId="19">Rex!$E$4</definedName>
    <definedName name="barva_8" localSheetId="22">Tytan!$E$4</definedName>
    <definedName name="barva_8" localSheetId="30">Universal!$E$4</definedName>
    <definedName name="barva_8" localSheetId="24">Victoria!$E$4</definedName>
    <definedName name="barva_8">Faworyt!$E$4</definedName>
    <definedName name="_xlnm.Print_Area" localSheetId="29">'Fiona II'!$A$2:$J$59</definedName>
    <definedName name="_xlnm.Print_Area" localSheetId="2">profil!$A:$Q</definedName>
    <definedName name="_xlnm.Print_Area" localSheetId="4">System10!$A:$J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" i="78" l="1"/>
  <c r="I33" i="78"/>
  <c r="I34" i="78"/>
  <c r="I35" i="78"/>
  <c r="I37" i="78"/>
  <c r="I42" i="78"/>
  <c r="I43" i="78"/>
  <c r="I44" i="78"/>
  <c r="I45" i="78"/>
  <c r="I46" i="78"/>
  <c r="I49" i="78"/>
  <c r="I50" i="78"/>
  <c r="I51" i="78"/>
  <c r="I52" i="78"/>
  <c r="I53" i="78"/>
  <c r="I54" i="78"/>
  <c r="I55" i="78"/>
  <c r="I56" i="78"/>
  <c r="I57" i="78"/>
  <c r="I58" i="78"/>
  <c r="I59" i="78"/>
  <c r="I60" i="78"/>
  <c r="I61" i="78"/>
  <c r="I62" i="78"/>
  <c r="I63" i="78"/>
  <c r="I64" i="78"/>
  <c r="I32" i="53"/>
  <c r="I33" i="53"/>
  <c r="I34" i="53"/>
  <c r="I35" i="53"/>
  <c r="I37" i="53"/>
  <c r="I42" i="53"/>
  <c r="I43" i="53"/>
  <c r="I44" i="53"/>
  <c r="I45" i="53"/>
  <c r="I46" i="53"/>
  <c r="I49" i="53"/>
  <c r="I50" i="53"/>
  <c r="I51" i="53"/>
  <c r="I52" i="53"/>
  <c r="I53" i="53"/>
  <c r="I54" i="53"/>
  <c r="I55" i="53"/>
  <c r="I56" i="53"/>
  <c r="I57" i="53"/>
  <c r="I58" i="53"/>
  <c r="I59" i="53"/>
  <c r="I60" i="53"/>
  <c r="I61" i="53"/>
  <c r="I62" i="53"/>
  <c r="I63" i="53"/>
  <c r="I64" i="53"/>
  <c r="I65" i="53"/>
  <c r="I28" i="81"/>
  <c r="I29" i="81"/>
  <c r="I30" i="81"/>
  <c r="I31" i="81"/>
  <c r="I33" i="81"/>
  <c r="I34" i="81"/>
  <c r="I35" i="81"/>
  <c r="I36" i="81"/>
  <c r="I37" i="81"/>
  <c r="I40" i="81"/>
  <c r="I41" i="81"/>
  <c r="I42" i="81"/>
  <c r="I43" i="81"/>
  <c r="I44" i="81"/>
  <c r="I51" i="81"/>
  <c r="I52" i="81"/>
  <c r="I28" i="80"/>
  <c r="I29" i="80"/>
  <c r="I30" i="80"/>
  <c r="I31" i="80"/>
  <c r="I33" i="80"/>
  <c r="I34" i="80"/>
  <c r="I35" i="80"/>
  <c r="I36" i="80"/>
  <c r="I37" i="80"/>
  <c r="I40" i="80"/>
  <c r="I41" i="80"/>
  <c r="I42" i="80"/>
  <c r="I43" i="80"/>
  <c r="I44" i="80"/>
  <c r="I51" i="80"/>
  <c r="I52" i="80"/>
  <c r="I28" i="61"/>
  <c r="I29" i="61"/>
  <c r="I30" i="61"/>
  <c r="I32" i="61"/>
  <c r="I33" i="61"/>
  <c r="I34" i="61"/>
  <c r="I35" i="61"/>
  <c r="I36" i="61"/>
  <c r="I37" i="61"/>
  <c r="I38" i="61"/>
  <c r="I39" i="61"/>
  <c r="I40" i="61"/>
  <c r="I41" i="61"/>
  <c r="I42" i="61"/>
  <c r="I43" i="61"/>
  <c r="I55" i="61"/>
  <c r="I56" i="61"/>
  <c r="I57" i="61"/>
  <c r="I28" i="62"/>
  <c r="I29" i="62"/>
  <c r="I30" i="62"/>
  <c r="I32" i="62"/>
  <c r="I33" i="62"/>
  <c r="I34" i="62"/>
  <c r="I35" i="62"/>
  <c r="I36" i="62"/>
  <c r="I37" i="62"/>
  <c r="I38" i="62"/>
  <c r="I39" i="62"/>
  <c r="I40" i="62"/>
  <c r="I41" i="62"/>
  <c r="I42" i="62"/>
  <c r="I43" i="62"/>
  <c r="I55" i="62"/>
  <c r="I56" i="62"/>
  <c r="I57" i="62"/>
  <c r="I28" i="58"/>
  <c r="I29" i="58"/>
  <c r="I30" i="58"/>
  <c r="I32" i="58"/>
  <c r="I33" i="58"/>
  <c r="I34" i="58"/>
  <c r="I35" i="58"/>
  <c r="I36" i="58"/>
  <c r="I37" i="58"/>
  <c r="I38" i="58"/>
  <c r="I39" i="58"/>
  <c r="I40" i="58"/>
  <c r="I41" i="58"/>
  <c r="I42" i="58"/>
  <c r="I43" i="58"/>
  <c r="I55" i="58"/>
  <c r="I56" i="58"/>
  <c r="I25" i="47"/>
  <c r="I26" i="47"/>
  <c r="I27" i="47"/>
  <c r="I28" i="47"/>
  <c r="I29" i="47"/>
  <c r="I30" i="47"/>
  <c r="I31" i="47"/>
  <c r="I32" i="47"/>
  <c r="I33" i="47"/>
  <c r="I34" i="47"/>
  <c r="I35" i="47"/>
  <c r="I36" i="47"/>
  <c r="I37" i="47"/>
  <c r="I38" i="47"/>
  <c r="I39" i="47"/>
  <c r="I40" i="47"/>
  <c r="I41" i="47"/>
  <c r="I42" i="47"/>
  <c r="I43" i="47"/>
  <c r="I44" i="47"/>
  <c r="I48" i="47"/>
  <c r="I49" i="47"/>
  <c r="I27" i="46"/>
  <c r="I28" i="46"/>
  <c r="I29" i="46"/>
  <c r="I31" i="46"/>
  <c r="I32" i="46"/>
  <c r="I33" i="46"/>
  <c r="I34" i="46"/>
  <c r="I35" i="46"/>
  <c r="I36" i="46"/>
  <c r="I37" i="46"/>
  <c r="I38" i="46"/>
  <c r="I39" i="46"/>
  <c r="I40" i="46"/>
  <c r="I41" i="46"/>
  <c r="I42" i="46"/>
  <c r="I43" i="46"/>
  <c r="I44" i="46"/>
  <c r="I45" i="46"/>
  <c r="I46" i="46"/>
  <c r="I50" i="46"/>
  <c r="I51" i="46"/>
  <c r="I52" i="46"/>
  <c r="I28" i="34"/>
  <c r="I29" i="34"/>
  <c r="I30" i="34"/>
  <c r="I32" i="34"/>
  <c r="I33" i="34"/>
  <c r="I34" i="34"/>
  <c r="I35" i="34"/>
  <c r="I36" i="34"/>
  <c r="I37" i="34"/>
  <c r="I38" i="34"/>
  <c r="I39" i="34"/>
  <c r="I40" i="34"/>
  <c r="I41" i="34"/>
  <c r="I42" i="34"/>
  <c r="I43" i="34"/>
  <c r="I55" i="34"/>
  <c r="I56" i="34"/>
  <c r="I57" i="34"/>
  <c r="I26" i="48"/>
  <c r="I27" i="48"/>
  <c r="I28" i="48"/>
  <c r="I29" i="48"/>
  <c r="I30" i="48"/>
  <c r="I31" i="48"/>
  <c r="I32" i="48"/>
  <c r="I33" i="48"/>
  <c r="I34" i="48"/>
  <c r="I35" i="48"/>
  <c r="I36" i="48"/>
  <c r="I37" i="48"/>
  <c r="I38" i="48"/>
  <c r="I39" i="48"/>
  <c r="I40" i="48"/>
  <c r="I41" i="48"/>
  <c r="I53" i="48"/>
  <c r="I54" i="48"/>
  <c r="I27" i="44"/>
  <c r="I28" i="44"/>
  <c r="I29" i="44"/>
  <c r="I31" i="44"/>
  <c r="I32" i="44"/>
  <c r="I33" i="44"/>
  <c r="I34" i="44"/>
  <c r="I35" i="44"/>
  <c r="I36" i="44"/>
  <c r="I37" i="44"/>
  <c r="I38" i="44"/>
  <c r="I39" i="44"/>
  <c r="I40" i="44"/>
  <c r="I41" i="44"/>
  <c r="I42" i="44"/>
  <c r="I54" i="44"/>
  <c r="I55" i="44"/>
  <c r="I28" i="33"/>
  <c r="I29" i="33"/>
  <c r="I30" i="33"/>
  <c r="I32" i="33"/>
  <c r="I33" i="33"/>
  <c r="I34" i="33"/>
  <c r="I35" i="33"/>
  <c r="I36" i="33"/>
  <c r="I37" i="33"/>
  <c r="I38" i="33"/>
  <c r="I39" i="33"/>
  <c r="I40" i="33"/>
  <c r="I41" i="33"/>
  <c r="I42" i="33"/>
  <c r="I43" i="33"/>
  <c r="I55" i="33"/>
  <c r="I56" i="33"/>
  <c r="I28" i="70"/>
  <c r="I29" i="70"/>
  <c r="I30" i="70"/>
  <c r="I32" i="70"/>
  <c r="I33" i="70"/>
  <c r="I34" i="70"/>
  <c r="I35" i="70"/>
  <c r="I36" i="70"/>
  <c r="I37" i="70"/>
  <c r="I38" i="70"/>
  <c r="I39" i="70"/>
  <c r="I40" i="70"/>
  <c r="I41" i="70"/>
  <c r="I42" i="70"/>
  <c r="I43" i="70"/>
  <c r="I55" i="70"/>
  <c r="I56" i="70"/>
  <c r="I28" i="20"/>
  <c r="I29" i="20"/>
  <c r="I30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55" i="20"/>
  <c r="I56" i="20"/>
  <c r="I28" i="17"/>
  <c r="I29" i="17"/>
  <c r="I30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55" i="17"/>
  <c r="I56" i="17"/>
  <c r="I57" i="17"/>
  <c r="I28" i="19"/>
  <c r="I29" i="19"/>
  <c r="I30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55" i="19"/>
  <c r="I56" i="19"/>
  <c r="I57" i="19"/>
  <c r="I28" i="18"/>
  <c r="I29" i="18"/>
  <c r="I30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55" i="18"/>
  <c r="I56" i="18"/>
  <c r="I57" i="18"/>
  <c r="I29" i="8"/>
  <c r="I30" i="8"/>
  <c r="I33" i="8"/>
  <c r="I34" i="8"/>
  <c r="I35" i="8"/>
  <c r="I36" i="8"/>
  <c r="I37" i="8"/>
  <c r="I38" i="8"/>
  <c r="I39" i="8"/>
  <c r="I40" i="8"/>
  <c r="I41" i="8"/>
  <c r="I42" i="8"/>
  <c r="I43" i="8"/>
  <c r="I44" i="8"/>
  <c r="I56" i="8"/>
  <c r="I57" i="8"/>
  <c r="I58" i="8"/>
  <c r="I28" i="56"/>
  <c r="I29" i="56"/>
  <c r="I32" i="56"/>
  <c r="I33" i="56"/>
  <c r="I34" i="56"/>
  <c r="I35" i="56"/>
  <c r="I36" i="56"/>
  <c r="I37" i="56"/>
  <c r="I38" i="56"/>
  <c r="I39" i="56"/>
  <c r="I40" i="56"/>
  <c r="I41" i="56"/>
  <c r="I42" i="56"/>
  <c r="I43" i="56"/>
  <c r="I55" i="56"/>
  <c r="I56" i="56"/>
  <c r="I57" i="56"/>
  <c r="I30" i="74"/>
  <c r="I31" i="74"/>
  <c r="I32" i="74"/>
  <c r="I33" i="74"/>
  <c r="I36" i="74"/>
  <c r="I37" i="74"/>
  <c r="I38" i="74"/>
  <c r="I39" i="74"/>
  <c r="I40" i="74"/>
  <c r="I41" i="74"/>
  <c r="I42" i="74"/>
  <c r="I43" i="74"/>
  <c r="I44" i="74"/>
  <c r="I45" i="74"/>
  <c r="I46" i="74"/>
  <c r="I47" i="74"/>
  <c r="I49" i="74"/>
  <c r="I51" i="74"/>
  <c r="I52" i="74"/>
  <c r="I53" i="74"/>
  <c r="I54" i="74"/>
  <c r="I55" i="74"/>
  <c r="I56" i="74"/>
  <c r="I57" i="74"/>
  <c r="I58" i="74"/>
  <c r="I30" i="37"/>
  <c r="I31" i="37"/>
  <c r="I32" i="37"/>
  <c r="I33" i="37"/>
  <c r="I36" i="37"/>
  <c r="I37" i="37"/>
  <c r="I38" i="37"/>
  <c r="I39" i="37"/>
  <c r="I40" i="37"/>
  <c r="I41" i="37"/>
  <c r="I42" i="37"/>
  <c r="I43" i="37"/>
  <c r="I44" i="37"/>
  <c r="I45" i="37"/>
  <c r="I46" i="37"/>
  <c r="I47" i="37"/>
  <c r="I48" i="37"/>
  <c r="I50" i="37"/>
  <c r="I52" i="37"/>
  <c r="I53" i="37"/>
  <c r="I54" i="37"/>
  <c r="I55" i="37"/>
  <c r="I56" i="37"/>
  <c r="I57" i="37"/>
  <c r="I58" i="37"/>
  <c r="I59" i="37"/>
  <c r="I60" i="37"/>
  <c r="I61" i="37"/>
  <c r="I62" i="37"/>
  <c r="I63" i="37"/>
  <c r="I64" i="37"/>
  <c r="I65" i="37"/>
  <c r="I66" i="37"/>
  <c r="I67" i="37"/>
  <c r="I33" i="51"/>
  <c r="I34" i="51"/>
  <c r="I35" i="51"/>
  <c r="I36" i="51"/>
  <c r="I37" i="51"/>
  <c r="I39" i="51"/>
  <c r="I44" i="51"/>
  <c r="I45" i="51"/>
  <c r="I46" i="51"/>
  <c r="I47" i="51"/>
  <c r="I48" i="51"/>
  <c r="I54" i="51"/>
  <c r="I55" i="51"/>
  <c r="I56" i="51"/>
  <c r="I57" i="51"/>
  <c r="I58" i="51"/>
  <c r="I59" i="51"/>
  <c r="I60" i="51"/>
  <c r="I61" i="51"/>
  <c r="I62" i="51"/>
  <c r="I63" i="51"/>
  <c r="I64" i="51"/>
  <c r="I65" i="51"/>
  <c r="I66" i="51"/>
  <c r="I67" i="51"/>
  <c r="I32" i="55"/>
  <c r="I33" i="55"/>
  <c r="I34" i="55"/>
  <c r="I35" i="55"/>
  <c r="I37" i="55"/>
  <c r="I42" i="55"/>
  <c r="I43" i="55"/>
  <c r="I44" i="55"/>
  <c r="I45" i="55"/>
  <c r="I46" i="55"/>
  <c r="I52" i="55"/>
  <c r="I53" i="55"/>
  <c r="I54" i="55"/>
  <c r="I55" i="55"/>
  <c r="I56" i="55"/>
  <c r="I57" i="55"/>
  <c r="I58" i="55"/>
  <c r="I59" i="55"/>
  <c r="I60" i="55"/>
  <c r="I61" i="55"/>
  <c r="I62" i="55"/>
  <c r="I63" i="55"/>
  <c r="I31" i="7"/>
  <c r="I32" i="7"/>
  <c r="I33" i="7"/>
  <c r="I35" i="7"/>
  <c r="I40" i="7"/>
  <c r="I41" i="7"/>
  <c r="I42" i="7"/>
  <c r="I43" i="7"/>
  <c r="I44" i="7"/>
  <c r="I45" i="7"/>
  <c r="I46" i="7"/>
  <c r="I47" i="7"/>
  <c r="I48" i="7"/>
  <c r="I49" i="7"/>
  <c r="I50" i="7"/>
  <c r="I51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31" i="54"/>
  <c r="I32" i="54"/>
  <c r="I33" i="54"/>
  <c r="I35" i="54"/>
  <c r="I40" i="54"/>
  <c r="I41" i="54"/>
  <c r="I42" i="54"/>
  <c r="I43" i="54"/>
  <c r="I44" i="54"/>
  <c r="I45" i="54"/>
  <c r="I46" i="54"/>
  <c r="I47" i="54"/>
  <c r="I48" i="54"/>
  <c r="I49" i="54"/>
  <c r="I50" i="54"/>
  <c r="I51" i="54"/>
  <c r="I54" i="54"/>
  <c r="I55" i="54"/>
  <c r="I56" i="54"/>
  <c r="I57" i="54"/>
  <c r="I58" i="54"/>
  <c r="I59" i="54"/>
  <c r="I60" i="54"/>
  <c r="I61" i="54"/>
  <c r="I62" i="54"/>
  <c r="I63" i="54"/>
  <c r="I64" i="54"/>
  <c r="I65" i="54"/>
  <c r="I31" i="5"/>
  <c r="I32" i="5"/>
  <c r="I33" i="5"/>
  <c r="I35" i="5"/>
  <c r="I40" i="5"/>
  <c r="I41" i="5"/>
  <c r="I42" i="5"/>
  <c r="I43" i="5"/>
  <c r="I44" i="5"/>
  <c r="I45" i="5"/>
  <c r="I46" i="5"/>
  <c r="I47" i="5"/>
  <c r="I48" i="5"/>
  <c r="I49" i="5"/>
  <c r="I50" i="5"/>
  <c r="I53" i="5"/>
  <c r="I54" i="5"/>
  <c r="I55" i="5"/>
  <c r="I56" i="5"/>
  <c r="I57" i="5"/>
  <c r="I58" i="5"/>
  <c r="I59" i="5"/>
  <c r="I60" i="5"/>
  <c r="I61" i="5"/>
  <c r="I62" i="5"/>
  <c r="I63" i="5"/>
  <c r="I64" i="5"/>
  <c r="I31" i="6"/>
  <c r="I32" i="6"/>
  <c r="I33" i="6"/>
  <c r="I35" i="6"/>
  <c r="I40" i="6"/>
  <c r="I41" i="6"/>
  <c r="I42" i="6"/>
  <c r="I43" i="6"/>
  <c r="I44" i="6"/>
  <c r="I45" i="6"/>
  <c r="I46" i="6"/>
  <c r="I47" i="6"/>
  <c r="I48" i="6"/>
  <c r="I49" i="6"/>
  <c r="I50" i="6"/>
  <c r="I53" i="6"/>
  <c r="I54" i="6"/>
  <c r="I55" i="6"/>
  <c r="I56" i="6"/>
  <c r="I57" i="6"/>
  <c r="I58" i="6"/>
  <c r="I59" i="6"/>
  <c r="I60" i="6"/>
  <c r="I61" i="6"/>
  <c r="I62" i="6"/>
  <c r="I63" i="6"/>
  <c r="I64" i="6"/>
  <c r="I31" i="71"/>
  <c r="I32" i="71"/>
  <c r="I33" i="71"/>
  <c r="I35" i="71"/>
  <c r="I40" i="71"/>
  <c r="I41" i="71"/>
  <c r="I42" i="71"/>
  <c r="I43" i="71"/>
  <c r="I44" i="71"/>
  <c r="I45" i="71"/>
  <c r="I46" i="71"/>
  <c r="I47" i="71"/>
  <c r="I48" i="71"/>
  <c r="I49" i="71"/>
  <c r="I50" i="71"/>
  <c r="I51" i="71"/>
  <c r="I55" i="71"/>
  <c r="I56" i="71"/>
  <c r="I57" i="71"/>
  <c r="I58" i="71"/>
  <c r="I59" i="71"/>
  <c r="I60" i="71"/>
  <c r="I61" i="71"/>
  <c r="I62" i="71"/>
  <c r="I63" i="71"/>
  <c r="I64" i="71"/>
  <c r="I65" i="71"/>
  <c r="I31" i="31"/>
  <c r="I32" i="31"/>
  <c r="I35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31" i="30"/>
  <c r="I32" i="30"/>
  <c r="I33" i="30"/>
  <c r="I35" i="30"/>
  <c r="I40" i="30"/>
  <c r="I41" i="30"/>
  <c r="I42" i="30"/>
  <c r="I43" i="30"/>
  <c r="I44" i="30"/>
  <c r="I45" i="30"/>
  <c r="I46" i="30"/>
  <c r="I47" i="30"/>
  <c r="I48" i="30"/>
  <c r="I49" i="30"/>
  <c r="I50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31" i="4"/>
  <c r="I32" i="4"/>
  <c r="I33" i="4"/>
  <c r="I35" i="4"/>
  <c r="I40" i="4"/>
  <c r="I41" i="4"/>
  <c r="I42" i="4"/>
  <c r="I43" i="4"/>
  <c r="I44" i="4"/>
  <c r="I45" i="4"/>
  <c r="I46" i="4"/>
  <c r="I47" i="4"/>
  <c r="I48" i="4"/>
  <c r="I49" i="4"/>
  <c r="I50" i="4"/>
  <c r="I53" i="4"/>
  <c r="I54" i="4"/>
  <c r="I55" i="4"/>
  <c r="I56" i="4"/>
  <c r="I57" i="4"/>
  <c r="I58" i="4"/>
  <c r="I59" i="4"/>
  <c r="I60" i="4"/>
  <c r="I61" i="4"/>
  <c r="I62" i="4"/>
  <c r="I63" i="4"/>
  <c r="I64" i="4"/>
  <c r="I31" i="85"/>
  <c r="I32" i="85"/>
  <c r="I33" i="85"/>
  <c r="I35" i="85"/>
  <c r="I40" i="85"/>
  <c r="I41" i="85"/>
  <c r="I42" i="85"/>
  <c r="I43" i="85"/>
  <c r="I44" i="85"/>
  <c r="I45" i="85"/>
  <c r="I46" i="85"/>
  <c r="I47" i="85"/>
  <c r="I48" i="85"/>
  <c r="I49" i="85"/>
  <c r="I50" i="85"/>
  <c r="I53" i="85"/>
  <c r="I54" i="85"/>
  <c r="I55" i="85"/>
  <c r="I56" i="85"/>
  <c r="I57" i="85"/>
  <c r="I58" i="85"/>
  <c r="I59" i="85"/>
  <c r="I60" i="85"/>
  <c r="I61" i="85"/>
  <c r="I62" i="85"/>
  <c r="I63" i="85"/>
  <c r="I64" i="85"/>
  <c r="I31" i="86"/>
  <c r="I32" i="86"/>
  <c r="I35" i="86"/>
  <c r="I40" i="86"/>
  <c r="I41" i="86"/>
  <c r="I42" i="86"/>
  <c r="I43" i="86"/>
  <c r="I44" i="86"/>
  <c r="I45" i="86"/>
  <c r="I46" i="86"/>
  <c r="I47" i="86"/>
  <c r="I48" i="86"/>
  <c r="I49" i="86"/>
  <c r="I50" i="86"/>
  <c r="I51" i="86"/>
  <c r="I54" i="86"/>
  <c r="I55" i="86"/>
  <c r="I56" i="86"/>
  <c r="I57" i="86"/>
  <c r="I58" i="86"/>
  <c r="I59" i="86"/>
  <c r="I60" i="86"/>
  <c r="I61" i="86"/>
  <c r="I62" i="86"/>
  <c r="I63" i="86"/>
  <c r="I64" i="86"/>
  <c r="I65" i="86"/>
  <c r="I66" i="86"/>
  <c r="I32" i="72"/>
  <c r="I33" i="72"/>
  <c r="I36" i="72"/>
  <c r="I40" i="72"/>
  <c r="I41" i="72"/>
  <c r="I42" i="72"/>
  <c r="I43" i="72"/>
  <c r="I44" i="72"/>
  <c r="I45" i="72"/>
  <c r="I46" i="72"/>
  <c r="I47" i="72"/>
  <c r="I48" i="72"/>
  <c r="I49" i="72"/>
  <c r="I50" i="72"/>
  <c r="I51" i="72"/>
  <c r="I52" i="72"/>
  <c r="I53" i="72"/>
  <c r="I54" i="72"/>
  <c r="I55" i="72"/>
  <c r="I56" i="72"/>
  <c r="I31" i="3"/>
  <c r="I32" i="3"/>
  <c r="I33" i="3"/>
  <c r="I35" i="3"/>
  <c r="I40" i="3"/>
  <c r="I41" i="3"/>
  <c r="I42" i="3"/>
  <c r="I43" i="3"/>
  <c r="I44" i="3"/>
  <c r="I45" i="3"/>
  <c r="I46" i="3"/>
  <c r="I47" i="3"/>
  <c r="I48" i="3"/>
  <c r="I49" i="3"/>
  <c r="I50" i="3"/>
  <c r="I53" i="3"/>
  <c r="I54" i="3"/>
  <c r="I55" i="3"/>
  <c r="I56" i="3"/>
  <c r="I57" i="3"/>
  <c r="I58" i="3"/>
  <c r="I59" i="3"/>
  <c r="I60" i="3"/>
  <c r="I61" i="3"/>
  <c r="I62" i="3"/>
  <c r="I63" i="3"/>
  <c r="I64" i="3"/>
  <c r="A70" i="86"/>
  <c r="A67" i="86"/>
  <c r="K66" i="86"/>
  <c r="K65" i="86"/>
  <c r="K64" i="86"/>
  <c r="K63" i="86"/>
  <c r="K62" i="86"/>
  <c r="K61" i="86"/>
  <c r="K60" i="86"/>
  <c r="K58" i="86"/>
  <c r="J56" i="86"/>
  <c r="K55" i="86"/>
  <c r="K54" i="86"/>
  <c r="K53" i="86"/>
  <c r="K52" i="86"/>
  <c r="K51" i="86"/>
  <c r="K50" i="86"/>
  <c r="K49" i="86"/>
  <c r="L48" i="86"/>
  <c r="K48" i="86"/>
  <c r="K47" i="86"/>
  <c r="K46" i="86"/>
  <c r="K45" i="86"/>
  <c r="K44" i="86"/>
  <c r="K43" i="86"/>
  <c r="B43" i="86"/>
  <c r="K40" i="86"/>
  <c r="D35" i="86"/>
  <c r="K35" i="86" s="1"/>
  <c r="D33" i="86"/>
  <c r="K33" i="86" s="1"/>
  <c r="D32" i="86"/>
  <c r="B32" i="86"/>
  <c r="D31" i="86"/>
  <c r="K31" i="86" s="1"/>
  <c r="L26" i="86"/>
  <c r="G26" i="86"/>
  <c r="A14" i="86"/>
  <c r="B12" i="86"/>
  <c r="D34" i="86" s="1"/>
  <c r="C11" i="86"/>
  <c r="P10" i="86"/>
  <c r="M9" i="86"/>
  <c r="B9" i="86"/>
  <c r="B8" i="86"/>
  <c r="P7" i="86"/>
  <c r="L24" i="86" s="1"/>
  <c r="C7" i="86"/>
  <c r="B7" i="86"/>
  <c r="B6" i="86"/>
  <c r="N5" i="86"/>
  <c r="L5" i="86"/>
  <c r="N4" i="86"/>
  <c r="L4" i="86"/>
  <c r="F3" i="86"/>
  <c r="C11" i="85"/>
  <c r="C10" i="85"/>
  <c r="B8" i="85"/>
  <c r="C7" i="85"/>
  <c r="C8" i="85" s="1"/>
  <c r="C9" i="85" s="1"/>
  <c r="B7" i="85"/>
  <c r="B12" i="85" s="1"/>
  <c r="D34" i="85" s="1"/>
  <c r="A68" i="85"/>
  <c r="A65" i="85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K33" i="85"/>
  <c r="J33" i="85"/>
  <c r="D33" i="85"/>
  <c r="D32" i="85"/>
  <c r="B32" i="85"/>
  <c r="J31" i="85"/>
  <c r="D31" i="85"/>
  <c r="K31" i="85" s="1"/>
  <c r="B27" i="85"/>
  <c r="G26" i="85"/>
  <c r="A14" i="85"/>
  <c r="P10" i="85"/>
  <c r="M9" i="85"/>
  <c r="P7" i="85"/>
  <c r="B6" i="85"/>
  <c r="K5" i="85"/>
  <c r="M4" i="85"/>
  <c r="M5" i="85" s="1"/>
  <c r="K4" i="85"/>
  <c r="F3" i="85"/>
  <c r="A708" i="1"/>
  <c r="L48" i="8"/>
  <c r="K32" i="86" l="1"/>
  <c r="C10" i="86"/>
  <c r="C8" i="86"/>
  <c r="C9" i="86" s="1"/>
  <c r="C13" i="86" s="1"/>
  <c r="L25" i="86"/>
  <c r="C13" i="85"/>
  <c r="B9" i="85"/>
  <c r="K32" i="85"/>
  <c r="L24" i="85"/>
  <c r="L12" i="85"/>
  <c r="M12" i="85" s="1"/>
  <c r="L13" i="85"/>
  <c r="L9" i="85"/>
  <c r="L11" i="85" s="1"/>
  <c r="R8" i="85"/>
  <c r="D57" i="85"/>
  <c r="J32" i="85"/>
  <c r="J35" i="85"/>
  <c r="L26" i="85"/>
  <c r="L25" i="85"/>
  <c r="A566" i="1"/>
  <c r="F566" i="1" s="1"/>
  <c r="A565" i="1"/>
  <c r="E565" i="1" s="1"/>
  <c r="A557" i="1"/>
  <c r="F557" i="1" s="1"/>
  <c r="A556" i="1"/>
  <c r="G556" i="1" s="1"/>
  <c r="A547" i="1"/>
  <c r="F547" i="1" s="1"/>
  <c r="A546" i="1"/>
  <c r="G546" i="1" s="1"/>
  <c r="A508" i="1"/>
  <c r="G508" i="1" s="1"/>
  <c r="A509" i="1"/>
  <c r="G509" i="1" s="1"/>
  <c r="A488" i="1"/>
  <c r="F488" i="1" s="1"/>
  <c r="A487" i="1"/>
  <c r="F487" i="1" s="1"/>
  <c r="A480" i="1"/>
  <c r="F480" i="1" s="1"/>
  <c r="A479" i="1"/>
  <c r="E479" i="1" s="1"/>
  <c r="A570" i="1"/>
  <c r="F570" i="1" s="1"/>
  <c r="A560" i="1"/>
  <c r="E560" i="1" s="1"/>
  <c r="A551" i="1"/>
  <c r="F551" i="1" s="1"/>
  <c r="A541" i="1"/>
  <c r="F541" i="1" s="1"/>
  <c r="A511" i="1"/>
  <c r="F511" i="1" s="1"/>
  <c r="A490" i="1"/>
  <c r="F490" i="1" s="1"/>
  <c r="A481" i="1"/>
  <c r="F481" i="1" s="1"/>
  <c r="A714" i="1"/>
  <c r="C2436" i="40"/>
  <c r="B2436" i="40"/>
  <c r="E725" i="1" s="1"/>
  <c r="A407" i="1"/>
  <c r="C2082" i="40"/>
  <c r="C2086" i="40"/>
  <c r="C2090" i="40"/>
  <c r="C2094" i="40"/>
  <c r="C2098" i="40"/>
  <c r="C2102" i="40"/>
  <c r="C2106" i="40"/>
  <c r="C2110" i="40"/>
  <c r="C2114" i="40"/>
  <c r="C2118" i="40"/>
  <c r="C2122" i="40"/>
  <c r="C2126" i="40"/>
  <c r="C2130" i="40"/>
  <c r="C2134" i="40"/>
  <c r="C2138" i="40"/>
  <c r="C2142" i="40"/>
  <c r="C2146" i="40"/>
  <c r="C2150" i="40"/>
  <c r="C2154" i="40"/>
  <c r="C2158" i="40"/>
  <c r="C2162" i="40"/>
  <c r="C2166" i="40"/>
  <c r="C2170" i="40"/>
  <c r="C2174" i="40"/>
  <c r="C2178" i="40"/>
  <c r="C2182" i="40"/>
  <c r="C2186" i="40"/>
  <c r="C2190" i="40"/>
  <c r="C2194" i="40"/>
  <c r="C2198" i="40"/>
  <c r="C2202" i="40"/>
  <c r="C2206" i="40"/>
  <c r="C2210" i="40"/>
  <c r="C2214" i="40"/>
  <c r="C2218" i="40"/>
  <c r="C2222" i="40"/>
  <c r="C2226" i="40"/>
  <c r="C2230" i="40"/>
  <c r="C2234" i="40"/>
  <c r="C2238" i="40"/>
  <c r="C2242" i="40"/>
  <c r="C2246" i="40"/>
  <c r="C2250" i="40"/>
  <c r="C2254" i="40"/>
  <c r="C2258" i="40"/>
  <c r="C2262" i="40"/>
  <c r="C2266" i="40"/>
  <c r="C2270" i="40"/>
  <c r="C2274" i="40"/>
  <c r="C2278" i="40"/>
  <c r="C2282" i="40"/>
  <c r="C2286" i="40"/>
  <c r="C2290" i="40"/>
  <c r="C2294" i="40"/>
  <c r="C2298" i="40"/>
  <c r="C2302" i="40"/>
  <c r="C2306" i="40"/>
  <c r="C2310" i="40"/>
  <c r="C2314" i="40"/>
  <c r="C2318" i="40"/>
  <c r="C2322" i="40"/>
  <c r="C2326" i="40"/>
  <c r="C2330" i="40"/>
  <c r="C2334" i="40"/>
  <c r="C2338" i="40"/>
  <c r="C2342" i="40"/>
  <c r="C2346" i="40"/>
  <c r="C2350" i="40"/>
  <c r="C2354" i="40"/>
  <c r="C2358" i="40"/>
  <c r="C2362" i="40"/>
  <c r="C2366" i="40"/>
  <c r="C2370" i="40"/>
  <c r="C2374" i="40"/>
  <c r="C2378" i="40"/>
  <c r="C2382" i="40"/>
  <c r="C2386" i="40"/>
  <c r="C2390" i="40"/>
  <c r="C2394" i="40"/>
  <c r="C2398" i="40"/>
  <c r="C2402" i="40"/>
  <c r="C2406" i="40"/>
  <c r="C2410" i="40"/>
  <c r="C2414" i="40"/>
  <c r="C2418" i="40"/>
  <c r="C2422" i="40"/>
  <c r="C2426" i="40"/>
  <c r="C1751" i="40"/>
  <c r="C1755" i="40"/>
  <c r="C1759" i="40"/>
  <c r="C1763" i="40"/>
  <c r="C1767" i="40"/>
  <c r="C1771" i="40"/>
  <c r="C1775" i="40"/>
  <c r="C1779" i="40"/>
  <c r="C1783" i="40"/>
  <c r="C1787" i="40"/>
  <c r="C1791" i="40"/>
  <c r="C1795" i="40"/>
  <c r="C1799" i="40"/>
  <c r="C1803" i="40"/>
  <c r="C1807" i="40"/>
  <c r="C1811" i="40"/>
  <c r="C1815" i="40"/>
  <c r="C1819" i="40"/>
  <c r="C1823" i="40"/>
  <c r="C1827" i="40"/>
  <c r="C1831" i="40"/>
  <c r="C1835" i="40"/>
  <c r="C1839" i="40"/>
  <c r="C1843" i="40"/>
  <c r="C1847" i="40"/>
  <c r="C1851" i="40"/>
  <c r="C1855" i="40"/>
  <c r="C1859" i="40"/>
  <c r="C1863" i="40"/>
  <c r="C1867" i="40"/>
  <c r="C1871" i="40"/>
  <c r="C1875" i="40"/>
  <c r="C1879" i="40"/>
  <c r="C1883" i="40"/>
  <c r="C1887" i="40"/>
  <c r="C1891" i="40"/>
  <c r="C1895" i="40"/>
  <c r="C1899" i="40"/>
  <c r="C1903" i="40"/>
  <c r="C1907" i="40"/>
  <c r="C1911" i="40"/>
  <c r="C1915" i="40"/>
  <c r="C1919" i="40"/>
  <c r="C1923" i="40"/>
  <c r="C1927" i="40"/>
  <c r="C1931" i="40"/>
  <c r="C1935" i="40"/>
  <c r="C1939" i="40"/>
  <c r="C1943" i="40"/>
  <c r="C1947" i="40"/>
  <c r="C1951" i="40"/>
  <c r="C1955" i="40"/>
  <c r="C1959" i="40"/>
  <c r="C1963" i="40"/>
  <c r="C1967" i="40"/>
  <c r="C1971" i="40"/>
  <c r="C1975" i="40"/>
  <c r="C1979" i="40"/>
  <c r="C1983" i="40"/>
  <c r="C1987" i="40"/>
  <c r="C1991" i="40"/>
  <c r="C1995" i="40"/>
  <c r="C1999" i="40"/>
  <c r="C2003" i="40"/>
  <c r="C2007" i="40"/>
  <c r="C2011" i="40"/>
  <c r="C2015" i="40"/>
  <c r="C2019" i="40"/>
  <c r="C2023" i="40"/>
  <c r="C2027" i="40"/>
  <c r="C2031" i="40"/>
  <c r="C2035" i="40"/>
  <c r="C2039" i="40"/>
  <c r="C2043" i="40"/>
  <c r="C2047" i="40"/>
  <c r="C2051" i="40"/>
  <c r="C2055" i="40"/>
  <c r="C2059" i="40"/>
  <c r="C2063" i="40"/>
  <c r="C2067" i="40"/>
  <c r="C2071" i="40"/>
  <c r="C2075" i="40"/>
  <c r="C2079" i="40"/>
  <c r="C2083" i="40"/>
  <c r="C2087" i="40"/>
  <c r="C983" i="40"/>
  <c r="C984" i="40"/>
  <c r="C985" i="40"/>
  <c r="C986" i="40"/>
  <c r="C987" i="40"/>
  <c r="C988" i="40"/>
  <c r="C989" i="40"/>
  <c r="C990" i="40"/>
  <c r="C991" i="40"/>
  <c r="C992" i="40"/>
  <c r="C993" i="40"/>
  <c r="C994" i="40"/>
  <c r="C995" i="40"/>
  <c r="C996" i="40"/>
  <c r="C997" i="40"/>
  <c r="C998" i="40"/>
  <c r="C999" i="40"/>
  <c r="C1000" i="40"/>
  <c r="C1001" i="40"/>
  <c r="C1002" i="40"/>
  <c r="C1003" i="40"/>
  <c r="C1004" i="40"/>
  <c r="C1005" i="40"/>
  <c r="C1006" i="40"/>
  <c r="C1007" i="40"/>
  <c r="C1008" i="40"/>
  <c r="C1009" i="40"/>
  <c r="C1010" i="40"/>
  <c r="C1011" i="40"/>
  <c r="C1012" i="40"/>
  <c r="C1013" i="40"/>
  <c r="C1014" i="40"/>
  <c r="C1015" i="40"/>
  <c r="C1016" i="40"/>
  <c r="C1017" i="40"/>
  <c r="C1018" i="40"/>
  <c r="C1019" i="40"/>
  <c r="C1020" i="40"/>
  <c r="C1021" i="40"/>
  <c r="C1022" i="40"/>
  <c r="C1023" i="40"/>
  <c r="C1024" i="40"/>
  <c r="C1025" i="40"/>
  <c r="C1026" i="40"/>
  <c r="C1027" i="40"/>
  <c r="C1028" i="40"/>
  <c r="C1029" i="40"/>
  <c r="C1030" i="40"/>
  <c r="C1031" i="40"/>
  <c r="C1032" i="40"/>
  <c r="C1033" i="40"/>
  <c r="C1034" i="40"/>
  <c r="C1035" i="40"/>
  <c r="C1036" i="40"/>
  <c r="C1037" i="40"/>
  <c r="C1038" i="40"/>
  <c r="C1039" i="40"/>
  <c r="C1040" i="40"/>
  <c r="C1041" i="40"/>
  <c r="C1042" i="40"/>
  <c r="C1043" i="40"/>
  <c r="C1044" i="40"/>
  <c r="C1045" i="40"/>
  <c r="C1046" i="40"/>
  <c r="C1047" i="40"/>
  <c r="C1048" i="40"/>
  <c r="C1049" i="40"/>
  <c r="C1050" i="40"/>
  <c r="C1051" i="40"/>
  <c r="C1052" i="40"/>
  <c r="C1053" i="40"/>
  <c r="C1054" i="40"/>
  <c r="C1055" i="40"/>
  <c r="C1056" i="40"/>
  <c r="C1057" i="40"/>
  <c r="C1058" i="40"/>
  <c r="C1059" i="40"/>
  <c r="C1060" i="40"/>
  <c r="C1061" i="40"/>
  <c r="C1062" i="40"/>
  <c r="C1063" i="40"/>
  <c r="C1064" i="40"/>
  <c r="C1065" i="40"/>
  <c r="C1066" i="40"/>
  <c r="C1067" i="40"/>
  <c r="C1068" i="40"/>
  <c r="C1069" i="40"/>
  <c r="C1070" i="40"/>
  <c r="C1071" i="40"/>
  <c r="C1072" i="40"/>
  <c r="C1073" i="40"/>
  <c r="C1074" i="40"/>
  <c r="C1075" i="40"/>
  <c r="C1076" i="40"/>
  <c r="C1077" i="40"/>
  <c r="C1078" i="40"/>
  <c r="C1079" i="40"/>
  <c r="C1080" i="40"/>
  <c r="C1081" i="40"/>
  <c r="C1082" i="40"/>
  <c r="C1083" i="40"/>
  <c r="C1084" i="40"/>
  <c r="C1085" i="40"/>
  <c r="C1086" i="40"/>
  <c r="C1087" i="40"/>
  <c r="C1088" i="40"/>
  <c r="C1089" i="40"/>
  <c r="C1090" i="40"/>
  <c r="C1091" i="40"/>
  <c r="C1092" i="40"/>
  <c r="C1093" i="40"/>
  <c r="C1094" i="40"/>
  <c r="C1095" i="40"/>
  <c r="C1096" i="40"/>
  <c r="C1097" i="40"/>
  <c r="C1098" i="40"/>
  <c r="C1099" i="40"/>
  <c r="C1100" i="40"/>
  <c r="C1101" i="40"/>
  <c r="C1102" i="40"/>
  <c r="C1103" i="40"/>
  <c r="C1104" i="40"/>
  <c r="C1105" i="40"/>
  <c r="C1106" i="40"/>
  <c r="C1107" i="40"/>
  <c r="C1108" i="40"/>
  <c r="C1109" i="40"/>
  <c r="C1110" i="40"/>
  <c r="C1111" i="40"/>
  <c r="C1112" i="40"/>
  <c r="C1113" i="40"/>
  <c r="C1114" i="40"/>
  <c r="C1115" i="40"/>
  <c r="C1116" i="40"/>
  <c r="C1117" i="40"/>
  <c r="C1118" i="40"/>
  <c r="C1119" i="40"/>
  <c r="C1120" i="40"/>
  <c r="C1121" i="40"/>
  <c r="C1122" i="40"/>
  <c r="C1123" i="40"/>
  <c r="C1124" i="40"/>
  <c r="C1125" i="40"/>
  <c r="C1126" i="40"/>
  <c r="C1127" i="40"/>
  <c r="C1128" i="40"/>
  <c r="C1129" i="40"/>
  <c r="C1130" i="40"/>
  <c r="C1131" i="40"/>
  <c r="C1132" i="40"/>
  <c r="C1133" i="40"/>
  <c r="C1134" i="40"/>
  <c r="C1135" i="40"/>
  <c r="C1136" i="40"/>
  <c r="C1137" i="40"/>
  <c r="C1138" i="40"/>
  <c r="C1139" i="40"/>
  <c r="C1140" i="40"/>
  <c r="C1141" i="40"/>
  <c r="C1142" i="40"/>
  <c r="C1143" i="40"/>
  <c r="C1144" i="40"/>
  <c r="C1145" i="40"/>
  <c r="C1146" i="40"/>
  <c r="C1147" i="40"/>
  <c r="C1148" i="40"/>
  <c r="C1149" i="40"/>
  <c r="C1150" i="40"/>
  <c r="C1151" i="40"/>
  <c r="C1152" i="40"/>
  <c r="C1153" i="40"/>
  <c r="C1154" i="40"/>
  <c r="C1155" i="40"/>
  <c r="C1156" i="40"/>
  <c r="C1157" i="40"/>
  <c r="C1158" i="40"/>
  <c r="C1159" i="40"/>
  <c r="C1160" i="40"/>
  <c r="C1161" i="40"/>
  <c r="C1162" i="40"/>
  <c r="C1163" i="40"/>
  <c r="C1164" i="40"/>
  <c r="C1165" i="40"/>
  <c r="C1166" i="40"/>
  <c r="C1167" i="40"/>
  <c r="C1168" i="40"/>
  <c r="C1169" i="40"/>
  <c r="C1170" i="40"/>
  <c r="C1171" i="40"/>
  <c r="C1172" i="40"/>
  <c r="C1173" i="40"/>
  <c r="C1174" i="40"/>
  <c r="C1175" i="40"/>
  <c r="C1176" i="40"/>
  <c r="C1177" i="40"/>
  <c r="C1178" i="40"/>
  <c r="C1179" i="40"/>
  <c r="C1180" i="40"/>
  <c r="C1181" i="40"/>
  <c r="C1182" i="40"/>
  <c r="C1183" i="40"/>
  <c r="C1184" i="40"/>
  <c r="C1185" i="40"/>
  <c r="C1186" i="40"/>
  <c r="C1187" i="40"/>
  <c r="C1188" i="40"/>
  <c r="C1189" i="40"/>
  <c r="C1190" i="40"/>
  <c r="C1191" i="40"/>
  <c r="C1192" i="40"/>
  <c r="C1193" i="40"/>
  <c r="C1194" i="40"/>
  <c r="C1195" i="40"/>
  <c r="C1196" i="40"/>
  <c r="C1197" i="40"/>
  <c r="C1198" i="40"/>
  <c r="C1199" i="40"/>
  <c r="C1200" i="40"/>
  <c r="C1201" i="40"/>
  <c r="C1202" i="40"/>
  <c r="C1203" i="40"/>
  <c r="C1204" i="40"/>
  <c r="C1205" i="40"/>
  <c r="C1206" i="40"/>
  <c r="C1207" i="40"/>
  <c r="C1208" i="40"/>
  <c r="C1209" i="40"/>
  <c r="C1210" i="40"/>
  <c r="C1211" i="40"/>
  <c r="C1212" i="40"/>
  <c r="C1213" i="40"/>
  <c r="C1214" i="40"/>
  <c r="C1215" i="40"/>
  <c r="C1216" i="40"/>
  <c r="C1217" i="40"/>
  <c r="C1218" i="40"/>
  <c r="C1219" i="40"/>
  <c r="C1220" i="40"/>
  <c r="C1221" i="40"/>
  <c r="C1222" i="40"/>
  <c r="C1223" i="40"/>
  <c r="C1224" i="40"/>
  <c r="C1225" i="40"/>
  <c r="C1226" i="40"/>
  <c r="C1227" i="40"/>
  <c r="C1228" i="40"/>
  <c r="C1229" i="40"/>
  <c r="C1230" i="40"/>
  <c r="C1231" i="40"/>
  <c r="C1232" i="40"/>
  <c r="C1233" i="40"/>
  <c r="C1234" i="40"/>
  <c r="C1235" i="40"/>
  <c r="C1236" i="40"/>
  <c r="C1237" i="40"/>
  <c r="C1238" i="40"/>
  <c r="C1239" i="40"/>
  <c r="C1240" i="40"/>
  <c r="C1241" i="40"/>
  <c r="C1242" i="40"/>
  <c r="C1243" i="40"/>
  <c r="C1244" i="40"/>
  <c r="C1245" i="40"/>
  <c r="C1246" i="40"/>
  <c r="C1247" i="40"/>
  <c r="C1248" i="40"/>
  <c r="C1249" i="40"/>
  <c r="C1250" i="40"/>
  <c r="C1251" i="40"/>
  <c r="C1252" i="40"/>
  <c r="C1253" i="40"/>
  <c r="C1254" i="40"/>
  <c r="C1255" i="40"/>
  <c r="C1256" i="40"/>
  <c r="C1257" i="40"/>
  <c r="C1258" i="40"/>
  <c r="C1259" i="40"/>
  <c r="C1260" i="40"/>
  <c r="C1261" i="40"/>
  <c r="C1262" i="40"/>
  <c r="C1263" i="40"/>
  <c r="C1264" i="40"/>
  <c r="C1265" i="40"/>
  <c r="C1266" i="40"/>
  <c r="C1267" i="40"/>
  <c r="C1268" i="40"/>
  <c r="C1269" i="40"/>
  <c r="C1270" i="40"/>
  <c r="C1271" i="40"/>
  <c r="C1272" i="40"/>
  <c r="C1273" i="40"/>
  <c r="C1274" i="40"/>
  <c r="C1275" i="40"/>
  <c r="C1276" i="40"/>
  <c r="C1277" i="40"/>
  <c r="C1278" i="40"/>
  <c r="C1279" i="40"/>
  <c r="C1280" i="40"/>
  <c r="C1281" i="40"/>
  <c r="C1282" i="40"/>
  <c r="C1283" i="40"/>
  <c r="C1284" i="40"/>
  <c r="C1285" i="40"/>
  <c r="C1286" i="40"/>
  <c r="C1287" i="40"/>
  <c r="C1288" i="40"/>
  <c r="C1289" i="40"/>
  <c r="C1290" i="40"/>
  <c r="C1291" i="40"/>
  <c r="C1292" i="40"/>
  <c r="C1293" i="40"/>
  <c r="C1294" i="40"/>
  <c r="C1295" i="40"/>
  <c r="C1296" i="40"/>
  <c r="C1297" i="40"/>
  <c r="C1298" i="40"/>
  <c r="C1299" i="40"/>
  <c r="C1300" i="40"/>
  <c r="C1301" i="40"/>
  <c r="C1302" i="40"/>
  <c r="C1303" i="40"/>
  <c r="C1304" i="40"/>
  <c r="C1305" i="40"/>
  <c r="C1306" i="40"/>
  <c r="C1307" i="40"/>
  <c r="C1308" i="40"/>
  <c r="C1309" i="40"/>
  <c r="C1310" i="40"/>
  <c r="C1311" i="40"/>
  <c r="C1312" i="40"/>
  <c r="C1313" i="40"/>
  <c r="C1314" i="40"/>
  <c r="C1315" i="40"/>
  <c r="C1316" i="40"/>
  <c r="C1317" i="40"/>
  <c r="C1318" i="40"/>
  <c r="C1319" i="40"/>
  <c r="C1320" i="40"/>
  <c r="C1321" i="40"/>
  <c r="C1322" i="40"/>
  <c r="C1323" i="40"/>
  <c r="C1324" i="40"/>
  <c r="C1325" i="40"/>
  <c r="C1326" i="40"/>
  <c r="C1327" i="40"/>
  <c r="C1328" i="40"/>
  <c r="C1329" i="40"/>
  <c r="C1330" i="40"/>
  <c r="C1331" i="40"/>
  <c r="C1332" i="40"/>
  <c r="C1333" i="40"/>
  <c r="C1334" i="40"/>
  <c r="C1335" i="40"/>
  <c r="C1336" i="40"/>
  <c r="C1337" i="40"/>
  <c r="C1338" i="40"/>
  <c r="C1339" i="40"/>
  <c r="C1340" i="40"/>
  <c r="C1341" i="40"/>
  <c r="C1342" i="40"/>
  <c r="C1343" i="40"/>
  <c r="C1344" i="40"/>
  <c r="C1345" i="40"/>
  <c r="C1346" i="40"/>
  <c r="C1347" i="40"/>
  <c r="C1348" i="40"/>
  <c r="C1349" i="40"/>
  <c r="C1350" i="40"/>
  <c r="C1351" i="40"/>
  <c r="C1352" i="40"/>
  <c r="C1353" i="40"/>
  <c r="C1354" i="40"/>
  <c r="C1355" i="40"/>
  <c r="C1356" i="40"/>
  <c r="C1357" i="40"/>
  <c r="C1358" i="40"/>
  <c r="C1359" i="40"/>
  <c r="C1360" i="40"/>
  <c r="C1361" i="40"/>
  <c r="C1362" i="40"/>
  <c r="C1363" i="40"/>
  <c r="C1364" i="40"/>
  <c r="C1365" i="40"/>
  <c r="C1366" i="40"/>
  <c r="C1367" i="40"/>
  <c r="C1368" i="40"/>
  <c r="C1369" i="40"/>
  <c r="C1370" i="40"/>
  <c r="C1371" i="40"/>
  <c r="C1372" i="40"/>
  <c r="C1373" i="40"/>
  <c r="C1374" i="40"/>
  <c r="C1375" i="40"/>
  <c r="C1376" i="40"/>
  <c r="C1377" i="40"/>
  <c r="C1378" i="40"/>
  <c r="C1379" i="40"/>
  <c r="C1380" i="40"/>
  <c r="C1381" i="40"/>
  <c r="C1382" i="40"/>
  <c r="C1383" i="40"/>
  <c r="C1384" i="40"/>
  <c r="C1385" i="40"/>
  <c r="C1386" i="40"/>
  <c r="C1387" i="40"/>
  <c r="C1388" i="40"/>
  <c r="C1389" i="40"/>
  <c r="C1390" i="40"/>
  <c r="C1391" i="40"/>
  <c r="C1392" i="40"/>
  <c r="C1393" i="40"/>
  <c r="C1394" i="40"/>
  <c r="C1395" i="40"/>
  <c r="C1396" i="40"/>
  <c r="C1397" i="40"/>
  <c r="C1398" i="40"/>
  <c r="C1399" i="40"/>
  <c r="C1400" i="40"/>
  <c r="C1401" i="40"/>
  <c r="C1402" i="40"/>
  <c r="C1403" i="40"/>
  <c r="C1404" i="40"/>
  <c r="C1405" i="40"/>
  <c r="C1406" i="40"/>
  <c r="C1407" i="40"/>
  <c r="C1408" i="40"/>
  <c r="C1409" i="40"/>
  <c r="C1410" i="40"/>
  <c r="C1411" i="40"/>
  <c r="C1412" i="40"/>
  <c r="C1413" i="40"/>
  <c r="C1414" i="40"/>
  <c r="C1415" i="40"/>
  <c r="C1416" i="40"/>
  <c r="C1417" i="40"/>
  <c r="C1418" i="40"/>
  <c r="C1419" i="40"/>
  <c r="C1420" i="40"/>
  <c r="C1421" i="40"/>
  <c r="C1422" i="40"/>
  <c r="C1423" i="40"/>
  <c r="C1424" i="40"/>
  <c r="C1425" i="40"/>
  <c r="C1426" i="40"/>
  <c r="C1427" i="40"/>
  <c r="C1428" i="40"/>
  <c r="C1429" i="40"/>
  <c r="C1430" i="40"/>
  <c r="C1431" i="40"/>
  <c r="C1432" i="40"/>
  <c r="C1433" i="40"/>
  <c r="C1434" i="40"/>
  <c r="C1435" i="40"/>
  <c r="C1436" i="40"/>
  <c r="C1437" i="40"/>
  <c r="C1438" i="40"/>
  <c r="C1439" i="40"/>
  <c r="C1440" i="40"/>
  <c r="C1441" i="40"/>
  <c r="C1442" i="40"/>
  <c r="C1443" i="40"/>
  <c r="C1444" i="40"/>
  <c r="C1445" i="40"/>
  <c r="C1446" i="40"/>
  <c r="C1447" i="40"/>
  <c r="C1448" i="40"/>
  <c r="C1449" i="40"/>
  <c r="C1450" i="40"/>
  <c r="C1451" i="40"/>
  <c r="C1452" i="40"/>
  <c r="C1453" i="40"/>
  <c r="C1454" i="40"/>
  <c r="C1455" i="40"/>
  <c r="C1456" i="40"/>
  <c r="C1457" i="40"/>
  <c r="C1458" i="40"/>
  <c r="C1459" i="40"/>
  <c r="C1460" i="40"/>
  <c r="C1461" i="40"/>
  <c r="C1462" i="40"/>
  <c r="C1463" i="40"/>
  <c r="C1464" i="40"/>
  <c r="C1465" i="40"/>
  <c r="C1466" i="40"/>
  <c r="C1467" i="40"/>
  <c r="C1468" i="40"/>
  <c r="C1469" i="40"/>
  <c r="C1470" i="40"/>
  <c r="C1471" i="40"/>
  <c r="C1472" i="40"/>
  <c r="C1473" i="40"/>
  <c r="C1474" i="40"/>
  <c r="C1475" i="40"/>
  <c r="C1476" i="40"/>
  <c r="C1477" i="40"/>
  <c r="C1478" i="40"/>
  <c r="C1479" i="40"/>
  <c r="C1480" i="40"/>
  <c r="C1481" i="40"/>
  <c r="C1482" i="40"/>
  <c r="C1483" i="40"/>
  <c r="C1484" i="40"/>
  <c r="C1485" i="40"/>
  <c r="C1486" i="40"/>
  <c r="C1487" i="40"/>
  <c r="C1488" i="40"/>
  <c r="C1489" i="40"/>
  <c r="C1490" i="40"/>
  <c r="C1491" i="40"/>
  <c r="C1492" i="40"/>
  <c r="C1493" i="40"/>
  <c r="C1494" i="40"/>
  <c r="C1495" i="40"/>
  <c r="C1496" i="40"/>
  <c r="C1497" i="40"/>
  <c r="C1498" i="40"/>
  <c r="C1499" i="40"/>
  <c r="C1500" i="40"/>
  <c r="C1501" i="40"/>
  <c r="C1502" i="40"/>
  <c r="C1503" i="40"/>
  <c r="C1504" i="40"/>
  <c r="C1505" i="40"/>
  <c r="C1506" i="40"/>
  <c r="C1507" i="40"/>
  <c r="C1508" i="40"/>
  <c r="C1509" i="40"/>
  <c r="C1510" i="40"/>
  <c r="C1511" i="40"/>
  <c r="C1512" i="40"/>
  <c r="C1513" i="40"/>
  <c r="C1514" i="40"/>
  <c r="C1515" i="40"/>
  <c r="C1516" i="40"/>
  <c r="C1517" i="40"/>
  <c r="C1518" i="40"/>
  <c r="C1519" i="40"/>
  <c r="C1520" i="40"/>
  <c r="C1521" i="40"/>
  <c r="C1522" i="40"/>
  <c r="C1523" i="40"/>
  <c r="C1524" i="40"/>
  <c r="C1525" i="40"/>
  <c r="C1526" i="40"/>
  <c r="C1527" i="40"/>
  <c r="C1528" i="40"/>
  <c r="C1529" i="40"/>
  <c r="C1530" i="40"/>
  <c r="C1531" i="40"/>
  <c r="C1532" i="40"/>
  <c r="C1533" i="40"/>
  <c r="C1534" i="40"/>
  <c r="C1535" i="40"/>
  <c r="C1536" i="40"/>
  <c r="C1537" i="40"/>
  <c r="C1538" i="40"/>
  <c r="C1539" i="40"/>
  <c r="C1540" i="40"/>
  <c r="C1541" i="40"/>
  <c r="C1542" i="40"/>
  <c r="C1543" i="40"/>
  <c r="C1544" i="40"/>
  <c r="C1545" i="40"/>
  <c r="C1546" i="40"/>
  <c r="C1547" i="40"/>
  <c r="C1548" i="40"/>
  <c r="C1549" i="40"/>
  <c r="C1550" i="40"/>
  <c r="C1551" i="40"/>
  <c r="C1552" i="40"/>
  <c r="C1553" i="40"/>
  <c r="C1554" i="40"/>
  <c r="C1555" i="40"/>
  <c r="C1556" i="40"/>
  <c r="C1557" i="40"/>
  <c r="C1558" i="40"/>
  <c r="C1559" i="40"/>
  <c r="C1560" i="40"/>
  <c r="C1561" i="40"/>
  <c r="C1562" i="40"/>
  <c r="C1563" i="40"/>
  <c r="C1564" i="40"/>
  <c r="C1565" i="40"/>
  <c r="C1566" i="40"/>
  <c r="C1567" i="40"/>
  <c r="C1568" i="40"/>
  <c r="C1569" i="40"/>
  <c r="C1570" i="40"/>
  <c r="C1571" i="40"/>
  <c r="C1572" i="40"/>
  <c r="C1573" i="40"/>
  <c r="C1574" i="40"/>
  <c r="C1575" i="40"/>
  <c r="C1576" i="40"/>
  <c r="C1577" i="40"/>
  <c r="C1578" i="40"/>
  <c r="C1579" i="40"/>
  <c r="C1580" i="40"/>
  <c r="C1581" i="40"/>
  <c r="C1582" i="40"/>
  <c r="C1583" i="40"/>
  <c r="C1584" i="40"/>
  <c r="C1585" i="40"/>
  <c r="C1586" i="40"/>
  <c r="C1587" i="40"/>
  <c r="C1588" i="40"/>
  <c r="C1589" i="40"/>
  <c r="C1590" i="40"/>
  <c r="C1591" i="40"/>
  <c r="C1592" i="40"/>
  <c r="C1593" i="40"/>
  <c r="C1594" i="40"/>
  <c r="C1595" i="40"/>
  <c r="C1596" i="40"/>
  <c r="C1597" i="40"/>
  <c r="C1598" i="40"/>
  <c r="C1599" i="40"/>
  <c r="C1600" i="40"/>
  <c r="C1601" i="40"/>
  <c r="C1602" i="40"/>
  <c r="C1603" i="40"/>
  <c r="C1604" i="40"/>
  <c r="C1605" i="40"/>
  <c r="C1606" i="40"/>
  <c r="C1607" i="40"/>
  <c r="C1608" i="40"/>
  <c r="C1609" i="40"/>
  <c r="C1610" i="40"/>
  <c r="C1611" i="40"/>
  <c r="C1612" i="40"/>
  <c r="C1613" i="40"/>
  <c r="C1614" i="40"/>
  <c r="C1615" i="40"/>
  <c r="C1616" i="40"/>
  <c r="C1617" i="40"/>
  <c r="C1618" i="40"/>
  <c r="C1619" i="40"/>
  <c r="C1620" i="40"/>
  <c r="C1621" i="40"/>
  <c r="C1622" i="40"/>
  <c r="C1623" i="40"/>
  <c r="C1624" i="40"/>
  <c r="C1625" i="40"/>
  <c r="C1626" i="40"/>
  <c r="C1627" i="40"/>
  <c r="C1628" i="40"/>
  <c r="C1629" i="40"/>
  <c r="C1630" i="40"/>
  <c r="C1631" i="40"/>
  <c r="C1632" i="40"/>
  <c r="C1633" i="40"/>
  <c r="C1634" i="40"/>
  <c r="C1635" i="40"/>
  <c r="C1636" i="40"/>
  <c r="C1637" i="40"/>
  <c r="C1638" i="40"/>
  <c r="C1639" i="40"/>
  <c r="C1640" i="40"/>
  <c r="C1641" i="40"/>
  <c r="C1642" i="40"/>
  <c r="C1643" i="40"/>
  <c r="C1644" i="40"/>
  <c r="C1645" i="40"/>
  <c r="C1646" i="40"/>
  <c r="C1647" i="40"/>
  <c r="C1648" i="40"/>
  <c r="C1649" i="40"/>
  <c r="C1650" i="40"/>
  <c r="C1651" i="40"/>
  <c r="C1652" i="40"/>
  <c r="C1653" i="40"/>
  <c r="C1654" i="40"/>
  <c r="C1655" i="40"/>
  <c r="C1656" i="40"/>
  <c r="C1657" i="40"/>
  <c r="C1658" i="40"/>
  <c r="C1659" i="40"/>
  <c r="C1660" i="40"/>
  <c r="C1661" i="40"/>
  <c r="C1662" i="40"/>
  <c r="C1663" i="40"/>
  <c r="C1664" i="40"/>
  <c r="C1665" i="40"/>
  <c r="C1666" i="40"/>
  <c r="C1667" i="40"/>
  <c r="C1668" i="40"/>
  <c r="C1669" i="40"/>
  <c r="C1670" i="40"/>
  <c r="C1671" i="40"/>
  <c r="C1672" i="40"/>
  <c r="C1673" i="40"/>
  <c r="C1674" i="40"/>
  <c r="C1675" i="40"/>
  <c r="C1676" i="40"/>
  <c r="C1677" i="40"/>
  <c r="C1678" i="40"/>
  <c r="C1679" i="40"/>
  <c r="C1680" i="40"/>
  <c r="C1681" i="40"/>
  <c r="C1682" i="40"/>
  <c r="C1683" i="40"/>
  <c r="C1684" i="40"/>
  <c r="C1685" i="40"/>
  <c r="C1686" i="40"/>
  <c r="C1687" i="40"/>
  <c r="C1688" i="40"/>
  <c r="C1689" i="40"/>
  <c r="C1690" i="40"/>
  <c r="C1691" i="40"/>
  <c r="C1692" i="40"/>
  <c r="C1693" i="40"/>
  <c r="C1694" i="40"/>
  <c r="C1695" i="40"/>
  <c r="C1696" i="40"/>
  <c r="C1697" i="40"/>
  <c r="C1698" i="40"/>
  <c r="C1699" i="40"/>
  <c r="C1700" i="40"/>
  <c r="C1701" i="40"/>
  <c r="C1702" i="40"/>
  <c r="C1703" i="40"/>
  <c r="C1704" i="40"/>
  <c r="C1705" i="40"/>
  <c r="C1706" i="40"/>
  <c r="C1707" i="40"/>
  <c r="C1708" i="40"/>
  <c r="C1709" i="40"/>
  <c r="C1710" i="40"/>
  <c r="C1711" i="40"/>
  <c r="C1712" i="40"/>
  <c r="C1713" i="40"/>
  <c r="C1714" i="40"/>
  <c r="C1715" i="40"/>
  <c r="C1716" i="40"/>
  <c r="C1717" i="40"/>
  <c r="C1718" i="40"/>
  <c r="C1719" i="40"/>
  <c r="C1720" i="40"/>
  <c r="C1721" i="40"/>
  <c r="C1722" i="40"/>
  <c r="C1723" i="40"/>
  <c r="C1724" i="40"/>
  <c r="C1725" i="40"/>
  <c r="C1726" i="40"/>
  <c r="C1727" i="40"/>
  <c r="C1728" i="40"/>
  <c r="C1729" i="40"/>
  <c r="C1730" i="40"/>
  <c r="C1731" i="40"/>
  <c r="C1732" i="40"/>
  <c r="C1733" i="40"/>
  <c r="C1734" i="40"/>
  <c r="C1735" i="40"/>
  <c r="C1736" i="40"/>
  <c r="C1737" i="40"/>
  <c r="C1738" i="40"/>
  <c r="C1739" i="40"/>
  <c r="C1740" i="40"/>
  <c r="C1741" i="40"/>
  <c r="C1742" i="40"/>
  <c r="C1743" i="40"/>
  <c r="C1744" i="40"/>
  <c r="C1745" i="40"/>
  <c r="C1746" i="40"/>
  <c r="C1747" i="40"/>
  <c r="C1748" i="40"/>
  <c r="C1749" i="40"/>
  <c r="C1750" i="40"/>
  <c r="C1752" i="40"/>
  <c r="C1753" i="40"/>
  <c r="C1754" i="40"/>
  <c r="C1756" i="40"/>
  <c r="C1757" i="40"/>
  <c r="C1758" i="40"/>
  <c r="C1760" i="40"/>
  <c r="C1761" i="40"/>
  <c r="C1762" i="40"/>
  <c r="C1764" i="40"/>
  <c r="C1765" i="40"/>
  <c r="C1766" i="40"/>
  <c r="C1768" i="40"/>
  <c r="C1769" i="40"/>
  <c r="C1770" i="40"/>
  <c r="C1772" i="40"/>
  <c r="C1773" i="40"/>
  <c r="C1774" i="40"/>
  <c r="C1776" i="40"/>
  <c r="C1777" i="40"/>
  <c r="C1778" i="40"/>
  <c r="C1780" i="40"/>
  <c r="C1781" i="40"/>
  <c r="C1782" i="40"/>
  <c r="C1784" i="40"/>
  <c r="C1785" i="40"/>
  <c r="C1786" i="40"/>
  <c r="C1788" i="40"/>
  <c r="C1789" i="40"/>
  <c r="C1790" i="40"/>
  <c r="C1792" i="40"/>
  <c r="C1793" i="40"/>
  <c r="C1794" i="40"/>
  <c r="C1796" i="40"/>
  <c r="C1797" i="40"/>
  <c r="C1798" i="40"/>
  <c r="C1800" i="40"/>
  <c r="C1801" i="40"/>
  <c r="C1802" i="40"/>
  <c r="C1804" i="40"/>
  <c r="C1805" i="40"/>
  <c r="C1806" i="40"/>
  <c r="C1808" i="40"/>
  <c r="C1809" i="40"/>
  <c r="C1810" i="40"/>
  <c r="C1812" i="40"/>
  <c r="C1813" i="40"/>
  <c r="C1814" i="40"/>
  <c r="C1816" i="40"/>
  <c r="C1817" i="40"/>
  <c r="C1818" i="40"/>
  <c r="C1820" i="40"/>
  <c r="C1821" i="40"/>
  <c r="C1822" i="40"/>
  <c r="C1824" i="40"/>
  <c r="C1825" i="40"/>
  <c r="C1826" i="40"/>
  <c r="C1828" i="40"/>
  <c r="C1829" i="40"/>
  <c r="C1830" i="40"/>
  <c r="C1832" i="40"/>
  <c r="C1833" i="40"/>
  <c r="C1834" i="40"/>
  <c r="C1836" i="40"/>
  <c r="C1837" i="40"/>
  <c r="C1838" i="40"/>
  <c r="C1840" i="40"/>
  <c r="C1841" i="40"/>
  <c r="C1842" i="40"/>
  <c r="C1844" i="40"/>
  <c r="C1845" i="40"/>
  <c r="C1846" i="40"/>
  <c r="C1848" i="40"/>
  <c r="C1849" i="40"/>
  <c r="C1850" i="40"/>
  <c r="C1852" i="40"/>
  <c r="C1853" i="40"/>
  <c r="C1854" i="40"/>
  <c r="C1856" i="40"/>
  <c r="C1857" i="40"/>
  <c r="C1858" i="40"/>
  <c r="C1860" i="40"/>
  <c r="C1861" i="40"/>
  <c r="C1862" i="40"/>
  <c r="C1864" i="40"/>
  <c r="C1865" i="40"/>
  <c r="C1866" i="40"/>
  <c r="C1868" i="40"/>
  <c r="C1869" i="40"/>
  <c r="C1870" i="40"/>
  <c r="C1872" i="40"/>
  <c r="C1873" i="40"/>
  <c r="C1874" i="40"/>
  <c r="C1876" i="40"/>
  <c r="C1877" i="40"/>
  <c r="C1878" i="40"/>
  <c r="C1880" i="40"/>
  <c r="C1881" i="40"/>
  <c r="C1882" i="40"/>
  <c r="C1884" i="40"/>
  <c r="C1885" i="40"/>
  <c r="C1886" i="40"/>
  <c r="C1888" i="40"/>
  <c r="C1889" i="40"/>
  <c r="C1890" i="40"/>
  <c r="C1892" i="40"/>
  <c r="C1893" i="40"/>
  <c r="C1894" i="40"/>
  <c r="C1896" i="40"/>
  <c r="C1897" i="40"/>
  <c r="C1898" i="40"/>
  <c r="C1900" i="40"/>
  <c r="C1901" i="40"/>
  <c r="C1902" i="40"/>
  <c r="C1904" i="40"/>
  <c r="C1905" i="40"/>
  <c r="C1906" i="40"/>
  <c r="C1908" i="40"/>
  <c r="C1909" i="40"/>
  <c r="C1910" i="40"/>
  <c r="C1912" i="40"/>
  <c r="C1913" i="40"/>
  <c r="C1914" i="40"/>
  <c r="C1916" i="40"/>
  <c r="C1917" i="40"/>
  <c r="C1918" i="40"/>
  <c r="C1920" i="40"/>
  <c r="C1921" i="40"/>
  <c r="C1922" i="40"/>
  <c r="C1924" i="40"/>
  <c r="C1925" i="40"/>
  <c r="C1926" i="40"/>
  <c r="C1928" i="40"/>
  <c r="C1929" i="40"/>
  <c r="C1930" i="40"/>
  <c r="C1932" i="40"/>
  <c r="C1933" i="40"/>
  <c r="C1934" i="40"/>
  <c r="C1936" i="40"/>
  <c r="C1937" i="40"/>
  <c r="C1938" i="40"/>
  <c r="C1940" i="40"/>
  <c r="C1941" i="40"/>
  <c r="C1942" i="40"/>
  <c r="C1944" i="40"/>
  <c r="C1945" i="40"/>
  <c r="C1946" i="40"/>
  <c r="C1948" i="40"/>
  <c r="C1949" i="40"/>
  <c r="C1950" i="40"/>
  <c r="C1952" i="40"/>
  <c r="C1953" i="40"/>
  <c r="C1954" i="40"/>
  <c r="C1956" i="40"/>
  <c r="C1957" i="40"/>
  <c r="C1958" i="40"/>
  <c r="C1960" i="40"/>
  <c r="C1961" i="40"/>
  <c r="C1962" i="40"/>
  <c r="C1964" i="40"/>
  <c r="C1965" i="40"/>
  <c r="C1966" i="40"/>
  <c r="C1968" i="40"/>
  <c r="C1969" i="40"/>
  <c r="C1970" i="40"/>
  <c r="C1972" i="40"/>
  <c r="C1973" i="40"/>
  <c r="C1974" i="40"/>
  <c r="C1976" i="40"/>
  <c r="C1977" i="40"/>
  <c r="C1978" i="40"/>
  <c r="C1980" i="40"/>
  <c r="C1981" i="40"/>
  <c r="C1982" i="40"/>
  <c r="C1984" i="40"/>
  <c r="C1985" i="40"/>
  <c r="C1986" i="40"/>
  <c r="C1988" i="40"/>
  <c r="C1989" i="40"/>
  <c r="C1990" i="40"/>
  <c r="C1992" i="40"/>
  <c r="C1993" i="40"/>
  <c r="C1994" i="40"/>
  <c r="C1996" i="40"/>
  <c r="C1997" i="40"/>
  <c r="C1998" i="40"/>
  <c r="C2000" i="40"/>
  <c r="C2001" i="40"/>
  <c r="C2002" i="40"/>
  <c r="C2004" i="40"/>
  <c r="C2005" i="40"/>
  <c r="C2006" i="40"/>
  <c r="C2008" i="40"/>
  <c r="C2009" i="40"/>
  <c r="C2010" i="40"/>
  <c r="C2012" i="40"/>
  <c r="C2013" i="40"/>
  <c r="C2014" i="40"/>
  <c r="C2016" i="40"/>
  <c r="C2017" i="40"/>
  <c r="C2018" i="40"/>
  <c r="C2020" i="40"/>
  <c r="C2021" i="40"/>
  <c r="C2022" i="40"/>
  <c r="C2024" i="40"/>
  <c r="C2025" i="40"/>
  <c r="C2026" i="40"/>
  <c r="C2028" i="40"/>
  <c r="C2029" i="40"/>
  <c r="C2030" i="40"/>
  <c r="C2032" i="40"/>
  <c r="C2033" i="40"/>
  <c r="C2034" i="40"/>
  <c r="C2036" i="40"/>
  <c r="C2037" i="40"/>
  <c r="C2038" i="40"/>
  <c r="C2040" i="40"/>
  <c r="C2041" i="40"/>
  <c r="C2042" i="40"/>
  <c r="C2044" i="40"/>
  <c r="C2045" i="40"/>
  <c r="C2046" i="40"/>
  <c r="C2048" i="40"/>
  <c r="C2049" i="40"/>
  <c r="C2050" i="40"/>
  <c r="C2052" i="40"/>
  <c r="C2053" i="40"/>
  <c r="C2054" i="40"/>
  <c r="C2056" i="40"/>
  <c r="C2057" i="40"/>
  <c r="C2058" i="40"/>
  <c r="C2060" i="40"/>
  <c r="C2061" i="40"/>
  <c r="C2062" i="40"/>
  <c r="C2064" i="40"/>
  <c r="C2065" i="40"/>
  <c r="C2066" i="40"/>
  <c r="C2068" i="40"/>
  <c r="C2069" i="40"/>
  <c r="C2070" i="40"/>
  <c r="C2072" i="40"/>
  <c r="C2073" i="40"/>
  <c r="C2074" i="40"/>
  <c r="C2076" i="40"/>
  <c r="C2077" i="40"/>
  <c r="C2078" i="40"/>
  <c r="C2080" i="40"/>
  <c r="C2081" i="40"/>
  <c r="C2084" i="40"/>
  <c r="C2085" i="40"/>
  <c r="C2088" i="40"/>
  <c r="C2089" i="40"/>
  <c r="C2091" i="40"/>
  <c r="C2092" i="40"/>
  <c r="C2093" i="40"/>
  <c r="C2095" i="40"/>
  <c r="C2096" i="40"/>
  <c r="C2097" i="40"/>
  <c r="C2099" i="40"/>
  <c r="C2100" i="40"/>
  <c r="C2101" i="40"/>
  <c r="C2103" i="40"/>
  <c r="C2104" i="40"/>
  <c r="C2105" i="40"/>
  <c r="C2107" i="40"/>
  <c r="C2108" i="40"/>
  <c r="C2109" i="40"/>
  <c r="C2111" i="40"/>
  <c r="C2112" i="40"/>
  <c r="C2113" i="40"/>
  <c r="C2115" i="40"/>
  <c r="C2116" i="40"/>
  <c r="C2117" i="40"/>
  <c r="C2119" i="40"/>
  <c r="C2120" i="40"/>
  <c r="C2121" i="40"/>
  <c r="C2123" i="40"/>
  <c r="C2124" i="40"/>
  <c r="C2125" i="40"/>
  <c r="C2127" i="40"/>
  <c r="C2128" i="40"/>
  <c r="C2129" i="40"/>
  <c r="C2131" i="40"/>
  <c r="C2132" i="40"/>
  <c r="C2133" i="40"/>
  <c r="C2135" i="40"/>
  <c r="C2136" i="40"/>
  <c r="C2137" i="40"/>
  <c r="C2139" i="40"/>
  <c r="C2140" i="40"/>
  <c r="C2141" i="40"/>
  <c r="C2143" i="40"/>
  <c r="C2144" i="40"/>
  <c r="C2145" i="40"/>
  <c r="C2147" i="40"/>
  <c r="C2148" i="40"/>
  <c r="C2149" i="40"/>
  <c r="C2151" i="40"/>
  <c r="C2152" i="40"/>
  <c r="C2153" i="40"/>
  <c r="C2155" i="40"/>
  <c r="C2156" i="40"/>
  <c r="C2157" i="40"/>
  <c r="C2159" i="40"/>
  <c r="C2160" i="40"/>
  <c r="C2161" i="40"/>
  <c r="C2163" i="40"/>
  <c r="C2164" i="40"/>
  <c r="C2165" i="40"/>
  <c r="C2167" i="40"/>
  <c r="C2168" i="40"/>
  <c r="C2169" i="40"/>
  <c r="C2171" i="40"/>
  <c r="C2172" i="40"/>
  <c r="C2173" i="40"/>
  <c r="C2175" i="40"/>
  <c r="C2176" i="40"/>
  <c r="C2177" i="40"/>
  <c r="C2179" i="40"/>
  <c r="C2180" i="40"/>
  <c r="C2181" i="40"/>
  <c r="C2183" i="40"/>
  <c r="C2184" i="40"/>
  <c r="C2185" i="40"/>
  <c r="C2187" i="40"/>
  <c r="C2188" i="40"/>
  <c r="C2189" i="40"/>
  <c r="C2191" i="40"/>
  <c r="C2192" i="40"/>
  <c r="C2193" i="40"/>
  <c r="C2195" i="40"/>
  <c r="C2196" i="40"/>
  <c r="C2197" i="40"/>
  <c r="C2199" i="40"/>
  <c r="C2200" i="40"/>
  <c r="C2201" i="40"/>
  <c r="C2203" i="40"/>
  <c r="C2204" i="40"/>
  <c r="C2205" i="40"/>
  <c r="C2207" i="40"/>
  <c r="C2208" i="40"/>
  <c r="C2209" i="40"/>
  <c r="C2211" i="40"/>
  <c r="C2212" i="40"/>
  <c r="C2213" i="40"/>
  <c r="C2215" i="40"/>
  <c r="C2216" i="40"/>
  <c r="C2217" i="40"/>
  <c r="C2219" i="40"/>
  <c r="C2220" i="40"/>
  <c r="C2221" i="40"/>
  <c r="C2223" i="40"/>
  <c r="C2224" i="40"/>
  <c r="C2225" i="40"/>
  <c r="C2227" i="40"/>
  <c r="C2228" i="40"/>
  <c r="C2229" i="40"/>
  <c r="C2231" i="40"/>
  <c r="C2232" i="40"/>
  <c r="C2233" i="40"/>
  <c r="C2235" i="40"/>
  <c r="C2236" i="40"/>
  <c r="C2237" i="40"/>
  <c r="C2239" i="40"/>
  <c r="C2240" i="40"/>
  <c r="C2241" i="40"/>
  <c r="C2243" i="40"/>
  <c r="C2244" i="40"/>
  <c r="C2245" i="40"/>
  <c r="C2247" i="40"/>
  <c r="C2248" i="40"/>
  <c r="C2249" i="40"/>
  <c r="C2251" i="40"/>
  <c r="C2252" i="40"/>
  <c r="C2253" i="40"/>
  <c r="C2255" i="40"/>
  <c r="C2256" i="40"/>
  <c r="C2257" i="40"/>
  <c r="C2259" i="40"/>
  <c r="C2260" i="40"/>
  <c r="C2261" i="40"/>
  <c r="C2263" i="40"/>
  <c r="C2264" i="40"/>
  <c r="C2265" i="40"/>
  <c r="C2267" i="40"/>
  <c r="C2268" i="40"/>
  <c r="C2269" i="40"/>
  <c r="C2271" i="40"/>
  <c r="C2272" i="40"/>
  <c r="C2273" i="40"/>
  <c r="C2275" i="40"/>
  <c r="C2276" i="40"/>
  <c r="C2277" i="40"/>
  <c r="C2279" i="40"/>
  <c r="C2280" i="40"/>
  <c r="C2281" i="40"/>
  <c r="C2283" i="40"/>
  <c r="C2284" i="40"/>
  <c r="C2285" i="40"/>
  <c r="C2287" i="40"/>
  <c r="C2288" i="40"/>
  <c r="C2289" i="40"/>
  <c r="C2291" i="40"/>
  <c r="C2292" i="40"/>
  <c r="C2293" i="40"/>
  <c r="C2295" i="40"/>
  <c r="C2296" i="40"/>
  <c r="C2297" i="40"/>
  <c r="C2299" i="40"/>
  <c r="C2300" i="40"/>
  <c r="C2301" i="40"/>
  <c r="C2303" i="40"/>
  <c r="C2304" i="40"/>
  <c r="C2305" i="40"/>
  <c r="C2307" i="40"/>
  <c r="C2308" i="40"/>
  <c r="C2309" i="40"/>
  <c r="C2311" i="40"/>
  <c r="C2312" i="40"/>
  <c r="C2313" i="40"/>
  <c r="C2315" i="40"/>
  <c r="C2316" i="40"/>
  <c r="C2317" i="40"/>
  <c r="C2319" i="40"/>
  <c r="C2320" i="40"/>
  <c r="C2321" i="40"/>
  <c r="C2323" i="40"/>
  <c r="C2324" i="40"/>
  <c r="C2325" i="40"/>
  <c r="C2327" i="40"/>
  <c r="C2328" i="40"/>
  <c r="C2329" i="40"/>
  <c r="C2331" i="40"/>
  <c r="C2332" i="40"/>
  <c r="C2333" i="40"/>
  <c r="C2335" i="40"/>
  <c r="C2336" i="40"/>
  <c r="C2337" i="40"/>
  <c r="C2339" i="40"/>
  <c r="C2340" i="40"/>
  <c r="C2341" i="40"/>
  <c r="C2343" i="40"/>
  <c r="C2344" i="40"/>
  <c r="C2345" i="40"/>
  <c r="C2347" i="40"/>
  <c r="C2348" i="40"/>
  <c r="C2349" i="40"/>
  <c r="C2351" i="40"/>
  <c r="C2352" i="40"/>
  <c r="C2353" i="40"/>
  <c r="C2355" i="40"/>
  <c r="C2356" i="40"/>
  <c r="C2357" i="40"/>
  <c r="C2359" i="40"/>
  <c r="C2360" i="40"/>
  <c r="C2361" i="40"/>
  <c r="C2363" i="40"/>
  <c r="C2364" i="40"/>
  <c r="C2365" i="40"/>
  <c r="C2367" i="40"/>
  <c r="C2368" i="40"/>
  <c r="C2369" i="40"/>
  <c r="C2371" i="40"/>
  <c r="C2372" i="40"/>
  <c r="C2373" i="40"/>
  <c r="C2375" i="40"/>
  <c r="C2376" i="40"/>
  <c r="C2377" i="40"/>
  <c r="C2379" i="40"/>
  <c r="C2380" i="40"/>
  <c r="C2381" i="40"/>
  <c r="C2383" i="40"/>
  <c r="C2384" i="40"/>
  <c r="C2385" i="40"/>
  <c r="C2387" i="40"/>
  <c r="C2388" i="40"/>
  <c r="C2389" i="40"/>
  <c r="C2391" i="40"/>
  <c r="C2392" i="40"/>
  <c r="C2393" i="40"/>
  <c r="C2395" i="40"/>
  <c r="C2396" i="40"/>
  <c r="C2397" i="40"/>
  <c r="C2399" i="40"/>
  <c r="C2400" i="40"/>
  <c r="C2401" i="40"/>
  <c r="C2403" i="40"/>
  <c r="C2404" i="40"/>
  <c r="C2405" i="40"/>
  <c r="C2407" i="40"/>
  <c r="C2408" i="40"/>
  <c r="C2409" i="40"/>
  <c r="C2411" i="40"/>
  <c r="C2412" i="40"/>
  <c r="C2413" i="40"/>
  <c r="C2415" i="40"/>
  <c r="C2416" i="40"/>
  <c r="C2417" i="40"/>
  <c r="C2419" i="40"/>
  <c r="C2420" i="40"/>
  <c r="C2421" i="40"/>
  <c r="C2423" i="40"/>
  <c r="C2424" i="40"/>
  <c r="C2425" i="40"/>
  <c r="C2427" i="40"/>
  <c r="C2428" i="40"/>
  <c r="C2429" i="40"/>
  <c r="C2430" i="40"/>
  <c r="C2431" i="40"/>
  <c r="C2432" i="40"/>
  <c r="C2433" i="40"/>
  <c r="C2434" i="40"/>
  <c r="C2435" i="40"/>
  <c r="B35" i="34"/>
  <c r="B33" i="48"/>
  <c r="B34" i="44"/>
  <c r="B35" i="33"/>
  <c r="B35" i="70"/>
  <c r="B35" i="20"/>
  <c r="B35" i="17"/>
  <c r="B35" i="19"/>
  <c r="B35" i="18"/>
  <c r="B36" i="8"/>
  <c r="B35" i="56"/>
  <c r="B43" i="5"/>
  <c r="B43" i="6"/>
  <c r="B43" i="71"/>
  <c r="B43" i="31"/>
  <c r="B43" i="30"/>
  <c r="B43" i="4"/>
  <c r="B43" i="3"/>
  <c r="B980" i="40"/>
  <c r="C43" i="85" s="1"/>
  <c r="C980" i="40"/>
  <c r="E43" i="85" s="1"/>
  <c r="F43" i="85" s="1"/>
  <c r="G43" i="85" s="1"/>
  <c r="L12" i="86" l="1"/>
  <c r="M12" i="86" s="1"/>
  <c r="L9" i="86"/>
  <c r="L11" i="86" s="1"/>
  <c r="L13" i="86"/>
  <c r="R8" i="86"/>
  <c r="D59" i="86"/>
  <c r="O7" i="85"/>
  <c r="O8" i="85" s="1"/>
  <c r="O10" i="85"/>
  <c r="O11" i="85" s="1"/>
  <c r="N12" i="85"/>
  <c r="U8" i="85"/>
  <c r="R9" i="85"/>
  <c r="R10" i="85" s="1"/>
  <c r="R11" i="85" s="1"/>
  <c r="R12" i="85" s="1"/>
  <c r="R13" i="85" s="1"/>
  <c r="R14" i="85" s="1"/>
  <c r="T8" i="85"/>
  <c r="S8" i="85"/>
  <c r="F725" i="1"/>
  <c r="E566" i="1"/>
  <c r="F546" i="1"/>
  <c r="F565" i="1"/>
  <c r="G565" i="1"/>
  <c r="E556" i="1"/>
  <c r="F556" i="1"/>
  <c r="E509" i="1"/>
  <c r="E557" i="1"/>
  <c r="E546" i="1"/>
  <c r="E547" i="1"/>
  <c r="F479" i="1"/>
  <c r="E480" i="1"/>
  <c r="F560" i="1"/>
  <c r="E487" i="1"/>
  <c r="E508" i="1"/>
  <c r="E541" i="1"/>
  <c r="F509" i="1"/>
  <c r="F508" i="1"/>
  <c r="E488" i="1"/>
  <c r="E570" i="1"/>
  <c r="E551" i="1"/>
  <c r="E511" i="1"/>
  <c r="E481" i="1"/>
  <c r="E490" i="1"/>
  <c r="B987" i="40"/>
  <c r="B990" i="40"/>
  <c r="B994" i="40"/>
  <c r="B998" i="40"/>
  <c r="B1002" i="40"/>
  <c r="B1006" i="40"/>
  <c r="B1010" i="40"/>
  <c r="B1014" i="40"/>
  <c r="B1018" i="40"/>
  <c r="B1022" i="40"/>
  <c r="B1027" i="40"/>
  <c r="B1031" i="40"/>
  <c r="B1035" i="40"/>
  <c r="B1039" i="40"/>
  <c r="B1042" i="40"/>
  <c r="B1046" i="40"/>
  <c r="B1050" i="40"/>
  <c r="B1053" i="40"/>
  <c r="B1060" i="40"/>
  <c r="B1064" i="40"/>
  <c r="B1068" i="40"/>
  <c r="B1072" i="40"/>
  <c r="B1076" i="40"/>
  <c r="B1080" i="40"/>
  <c r="B1084" i="40"/>
  <c r="B1088" i="40"/>
  <c r="B1092" i="40"/>
  <c r="B1096" i="40"/>
  <c r="B1099" i="40"/>
  <c r="B1103" i="40"/>
  <c r="B1108" i="40"/>
  <c r="B1111" i="40"/>
  <c r="B1119" i="40"/>
  <c r="B1123" i="40"/>
  <c r="B1127" i="40"/>
  <c r="B1131" i="40"/>
  <c r="B1135" i="40"/>
  <c r="B1139" i="40"/>
  <c r="B1142" i="40"/>
  <c r="B1146" i="40"/>
  <c r="B1149" i="40"/>
  <c r="B1155" i="40"/>
  <c r="B1159" i="40"/>
  <c r="B1161" i="40"/>
  <c r="B1165" i="40"/>
  <c r="B1169" i="40"/>
  <c r="B1173" i="40"/>
  <c r="B1177" i="40"/>
  <c r="B1181" i="40"/>
  <c r="B1185" i="40"/>
  <c r="B1189" i="40"/>
  <c r="B1193" i="40"/>
  <c r="B984" i="40"/>
  <c r="B988" i="40"/>
  <c r="B991" i="40"/>
  <c r="B995" i="40"/>
  <c r="B999" i="40"/>
  <c r="B1003" i="40"/>
  <c r="B1007" i="40"/>
  <c r="B1011" i="40"/>
  <c r="B1015" i="40"/>
  <c r="B1019" i="40"/>
  <c r="B1023" i="40"/>
  <c r="B1028" i="40"/>
  <c r="B1032" i="40"/>
  <c r="B1036" i="40"/>
  <c r="B1040" i="40"/>
  <c r="B1043" i="40"/>
  <c r="B1047" i="40"/>
  <c r="B1051" i="40"/>
  <c r="B1054" i="40"/>
  <c r="B1057" i="40"/>
  <c r="B1061" i="40"/>
  <c r="B1065" i="40"/>
  <c r="B1069" i="40"/>
  <c r="B1073" i="40"/>
  <c r="B1077" i="40"/>
  <c r="B1081" i="40"/>
  <c r="B1085" i="40"/>
  <c r="B1089" i="40"/>
  <c r="B1093" i="40"/>
  <c r="B1097" i="40"/>
  <c r="B1100" i="40"/>
  <c r="B1104" i="40"/>
  <c r="B1109" i="40"/>
  <c r="B1112" i="40"/>
  <c r="B1116" i="40"/>
  <c r="B1120" i="40"/>
  <c r="B1124" i="40"/>
  <c r="B1128" i="40"/>
  <c r="B1132" i="40"/>
  <c r="B1136" i="40"/>
  <c r="B1140" i="40"/>
  <c r="B1143" i="40"/>
  <c r="B1147" i="40"/>
  <c r="B1150" i="40"/>
  <c r="B1152" i="40"/>
  <c r="B1156" i="40"/>
  <c r="B1162" i="40"/>
  <c r="B1166" i="40"/>
  <c r="B1170" i="40"/>
  <c r="B1174" i="40"/>
  <c r="B1178" i="40"/>
  <c r="B1182" i="40"/>
  <c r="B1186" i="40"/>
  <c r="B1190" i="40"/>
  <c r="B1202" i="40"/>
  <c r="B983" i="40"/>
  <c r="B985" i="40"/>
  <c r="B992" i="40"/>
  <c r="B996" i="40"/>
  <c r="B1000" i="40"/>
  <c r="B1004" i="40"/>
  <c r="B1008" i="40"/>
  <c r="B1012" i="40"/>
  <c r="B1016" i="40"/>
  <c r="B1020" i="40"/>
  <c r="B1024" i="40"/>
  <c r="B1029" i="40"/>
  <c r="B1033" i="40"/>
  <c r="B1037" i="40"/>
  <c r="B1044" i="40"/>
  <c r="B1048" i="40"/>
  <c r="B1055" i="40"/>
  <c r="B1058" i="40"/>
  <c r="B1062" i="40"/>
  <c r="B1066" i="40"/>
  <c r="B1070" i="40"/>
  <c r="B1074" i="40"/>
  <c r="B1078" i="40"/>
  <c r="B1082" i="40"/>
  <c r="B1086" i="40"/>
  <c r="B1090" i="40"/>
  <c r="B1094" i="40"/>
  <c r="B1101" i="40"/>
  <c r="B1105" i="40"/>
  <c r="B1106" i="40"/>
  <c r="B1113" i="40"/>
  <c r="B1114" i="40"/>
  <c r="B1117" i="40"/>
  <c r="B1121" i="40"/>
  <c r="B1125" i="40"/>
  <c r="B1129" i="40"/>
  <c r="B1133" i="40"/>
  <c r="B1137" i="40"/>
  <c r="B1141" i="40"/>
  <c r="B1144" i="40"/>
  <c r="B1148" i="40"/>
  <c r="B1153" i="40"/>
  <c r="B1157" i="40"/>
  <c r="B1163" i="40"/>
  <c r="B1167" i="40"/>
  <c r="B1171" i="40"/>
  <c r="B1175" i="40"/>
  <c r="B1179" i="40"/>
  <c r="B1183" i="40"/>
  <c r="B1187" i="40"/>
  <c r="B1191" i="40"/>
  <c r="B986" i="40"/>
  <c r="B997" i="40"/>
  <c r="B1013" i="40"/>
  <c r="B1026" i="40"/>
  <c r="B1041" i="40"/>
  <c r="B1052" i="40"/>
  <c r="B1067" i="40"/>
  <c r="B1083" i="40"/>
  <c r="B1098" i="40"/>
  <c r="B1118" i="40"/>
  <c r="B1134" i="40"/>
  <c r="B1154" i="40"/>
  <c r="B1168" i="40"/>
  <c r="B1184" i="40"/>
  <c r="B1198" i="40"/>
  <c r="B1203" i="40"/>
  <c r="B1207" i="40"/>
  <c r="B1211" i="40"/>
  <c r="B1215" i="40"/>
  <c r="B1219" i="40"/>
  <c r="B1224" i="40"/>
  <c r="B1228" i="40"/>
  <c r="B1232" i="40"/>
  <c r="B1236" i="40"/>
  <c r="B1240" i="40"/>
  <c r="B1244" i="40"/>
  <c r="B1248" i="40"/>
  <c r="B1252" i="40"/>
  <c r="B1256" i="40"/>
  <c r="B1260" i="40"/>
  <c r="B1264" i="40"/>
  <c r="B1268" i="40"/>
  <c r="B1272" i="40"/>
  <c r="B1276" i="40"/>
  <c r="B1280" i="40"/>
  <c r="B1286" i="40"/>
  <c r="B1290" i="40"/>
  <c r="B1294" i="40"/>
  <c r="B1298" i="40"/>
  <c r="B1302" i="40"/>
  <c r="B1306" i="40"/>
  <c r="B1310" i="40"/>
  <c r="B1314" i="40"/>
  <c r="B1318" i="40"/>
  <c r="B1324" i="40"/>
  <c r="B1328" i="40"/>
  <c r="B1332" i="40"/>
  <c r="B1338" i="40"/>
  <c r="B1342" i="40"/>
  <c r="B1346" i="40"/>
  <c r="B1350" i="40"/>
  <c r="B1354" i="40"/>
  <c r="B1358" i="40"/>
  <c r="B1362" i="40"/>
  <c r="B1366" i="40"/>
  <c r="B1370" i="40"/>
  <c r="B1374" i="40"/>
  <c r="B1378" i="40"/>
  <c r="B1382" i="40"/>
  <c r="B1386" i="40"/>
  <c r="B1388" i="40"/>
  <c r="B1392" i="40"/>
  <c r="B1396" i="40"/>
  <c r="B1400" i="40"/>
  <c r="B989" i="40"/>
  <c r="B1001" i="40"/>
  <c r="B1017" i="40"/>
  <c r="B1030" i="40"/>
  <c r="B1045" i="40"/>
  <c r="B1056" i="40"/>
  <c r="B1071" i="40"/>
  <c r="B1087" i="40"/>
  <c r="B1102" i="40"/>
  <c r="B1122" i="40"/>
  <c r="B1138" i="40"/>
  <c r="B1158" i="40"/>
  <c r="B1172" i="40"/>
  <c r="B1188" i="40"/>
  <c r="B1199" i="40"/>
  <c r="B1204" i="40"/>
  <c r="B1208" i="40"/>
  <c r="B1212" i="40"/>
  <c r="B1216" i="40"/>
  <c r="B1220" i="40"/>
  <c r="B1225" i="40"/>
  <c r="B1229" i="40"/>
  <c r="B1233" i="40"/>
  <c r="B1237" i="40"/>
  <c r="B1241" i="40"/>
  <c r="B1245" i="40"/>
  <c r="B1249" i="40"/>
  <c r="B1253" i="40"/>
  <c r="B1257" i="40"/>
  <c r="B1261" i="40"/>
  <c r="B1265" i="40"/>
  <c r="B1269" i="40"/>
  <c r="B1273" i="40"/>
  <c r="B1277" i="40"/>
  <c r="B1281" i="40"/>
  <c r="B1287" i="40"/>
  <c r="B1291" i="40"/>
  <c r="B1295" i="40"/>
  <c r="B1299" i="40"/>
  <c r="B1303" i="40"/>
  <c r="B1307" i="40"/>
  <c r="B1311" i="40"/>
  <c r="B1315" i="40"/>
  <c r="B1319" i="40"/>
  <c r="B1321" i="40"/>
  <c r="B1325" i="40"/>
  <c r="B1329" i="40"/>
  <c r="B1333" i="40"/>
  <c r="B1334" i="40"/>
  <c r="B1335" i="40"/>
  <c r="B1339" i="40"/>
  <c r="B1343" i="40"/>
  <c r="B1347" i="40"/>
  <c r="B1351" i="40"/>
  <c r="B1355" i="40"/>
  <c r="B1359" i="40"/>
  <c r="B1361" i="40"/>
  <c r="B1363" i="40"/>
  <c r="B1367" i="40"/>
  <c r="B1371" i="40"/>
  <c r="B1375" i="40"/>
  <c r="B1379" i="40"/>
  <c r="B1383" i="40"/>
  <c r="B1387" i="40"/>
  <c r="B1389" i="40"/>
  <c r="B1393" i="40"/>
  <c r="B1397" i="40"/>
  <c r="B1005" i="40"/>
  <c r="B1021" i="40"/>
  <c r="B1034" i="40"/>
  <c r="B1049" i="40"/>
  <c r="B1059" i="40"/>
  <c r="B1075" i="40"/>
  <c r="B1091" i="40"/>
  <c r="B1107" i="40"/>
  <c r="B1115" i="40"/>
  <c r="B1126" i="40"/>
  <c r="B1160" i="40"/>
  <c r="B1176" i="40"/>
  <c r="B1192" i="40"/>
  <c r="B1195" i="40"/>
  <c r="B1200" i="40"/>
  <c r="B1205" i="40"/>
  <c r="B1209" i="40"/>
  <c r="B1213" i="40"/>
  <c r="B1217" i="40"/>
  <c r="B1221" i="40"/>
  <c r="B1226" i="40"/>
  <c r="B1230" i="40"/>
  <c r="B1234" i="40"/>
  <c r="B1238" i="40"/>
  <c r="B1242" i="40"/>
  <c r="B1246" i="40"/>
  <c r="B1250" i="40"/>
  <c r="B1254" i="40"/>
  <c r="B1258" i="40"/>
  <c r="B1262" i="40"/>
  <c r="B1266" i="40"/>
  <c r="B1270" i="40"/>
  <c r="B1274" i="40"/>
  <c r="B1278" i="40"/>
  <c r="B1282" i="40"/>
  <c r="B1284" i="40"/>
  <c r="B1288" i="40"/>
  <c r="B1292" i="40"/>
  <c r="B1296" i="40"/>
  <c r="B1300" i="40"/>
  <c r="B1304" i="40"/>
  <c r="B1308" i="40"/>
  <c r="B1312" i="40"/>
  <c r="B1316" i="40"/>
  <c r="B1320" i="40"/>
  <c r="B1322" i="40"/>
  <c r="B1326" i="40"/>
  <c r="B1330" i="40"/>
  <c r="B1336" i="40"/>
  <c r="B1340" i="40"/>
  <c r="B1344" i="40"/>
  <c r="B1348" i="40"/>
  <c r="B1352" i="40"/>
  <c r="B1356" i="40"/>
  <c r="B1364" i="40"/>
  <c r="B1368" i="40"/>
  <c r="B1372" i="40"/>
  <c r="B1376" i="40"/>
  <c r="B1380" i="40"/>
  <c r="B1384" i="40"/>
  <c r="B1390" i="40"/>
  <c r="B1394" i="40"/>
  <c r="B1025" i="40"/>
  <c r="B1079" i="40"/>
  <c r="B1151" i="40"/>
  <c r="B1197" i="40"/>
  <c r="B1214" i="40"/>
  <c r="B1223" i="40"/>
  <c r="B1239" i="40"/>
  <c r="B1255" i="40"/>
  <c r="B1271" i="40"/>
  <c r="B1285" i="40"/>
  <c r="B1301" i="40"/>
  <c r="B1323" i="40"/>
  <c r="B1345" i="40"/>
  <c r="B1360" i="40"/>
  <c r="B1373" i="40"/>
  <c r="B1395" i="40"/>
  <c r="B1402" i="40"/>
  <c r="B1406" i="40"/>
  <c r="B1410" i="40"/>
  <c r="B1414" i="40"/>
  <c r="B1418" i="40"/>
  <c r="B1422" i="40"/>
  <c r="B1426" i="40"/>
  <c r="B1431" i="40"/>
  <c r="B1435" i="40"/>
  <c r="B1440" i="40"/>
  <c r="B1444" i="40"/>
  <c r="B1448" i="40"/>
  <c r="B1452" i="40"/>
  <c r="B1455" i="40"/>
  <c r="B1462" i="40"/>
  <c r="B1466" i="40"/>
  <c r="B1470" i="40"/>
  <c r="B1474" i="40"/>
  <c r="B1478" i="40"/>
  <c r="B1482" i="40"/>
  <c r="B1486" i="40"/>
  <c r="B1490" i="40"/>
  <c r="B1495" i="40"/>
  <c r="B1497" i="40"/>
  <c r="B1505" i="40"/>
  <c r="B1509" i="40"/>
  <c r="B1513" i="40"/>
  <c r="B1517" i="40"/>
  <c r="B1520" i="40"/>
  <c r="B1038" i="40"/>
  <c r="B1095" i="40"/>
  <c r="B1130" i="40"/>
  <c r="B1164" i="40"/>
  <c r="B1201" i="40"/>
  <c r="B1218" i="40"/>
  <c r="B1227" i="40"/>
  <c r="B1243" i="40"/>
  <c r="B1259" i="40"/>
  <c r="B1275" i="40"/>
  <c r="B1289" i="40"/>
  <c r="B1305" i="40"/>
  <c r="B1313" i="40"/>
  <c r="B1327" i="40"/>
  <c r="B1349" i="40"/>
  <c r="B1377" i="40"/>
  <c r="B1398" i="40"/>
  <c r="B1403" i="40"/>
  <c r="B1407" i="40"/>
  <c r="B1411" i="40"/>
  <c r="B1415" i="40"/>
  <c r="B1419" i="40"/>
  <c r="B1423" i="40"/>
  <c r="B1427" i="40"/>
  <c r="B1429" i="40"/>
  <c r="B1432" i="40"/>
  <c r="B1433" i="40"/>
  <c r="B1436" i="40"/>
  <c r="B1438" i="40"/>
  <c r="B1441" i="40"/>
  <c r="B1445" i="40"/>
  <c r="B1449" i="40"/>
  <c r="B1453" i="40"/>
  <c r="B1454" i="40"/>
  <c r="B1456" i="40"/>
  <c r="B1459" i="40"/>
  <c r="B1463" i="40"/>
  <c r="B1467" i="40"/>
  <c r="B1471" i="40"/>
  <c r="B1475" i="40"/>
  <c r="B1479" i="40"/>
  <c r="B1483" i="40"/>
  <c r="B1487" i="40"/>
  <c r="B1491" i="40"/>
  <c r="B1492" i="40"/>
  <c r="B1496" i="40"/>
  <c r="B1498" i="40"/>
  <c r="B1501" i="40"/>
  <c r="B1502" i="40"/>
  <c r="B1506" i="40"/>
  <c r="B1510" i="40"/>
  <c r="B1514" i="40"/>
  <c r="B1521" i="40"/>
  <c r="B993" i="40"/>
  <c r="B1145" i="40"/>
  <c r="B1180" i="40"/>
  <c r="B1196" i="40"/>
  <c r="B1206" i="40"/>
  <c r="B1222" i="40"/>
  <c r="B1231" i="40"/>
  <c r="B1247" i="40"/>
  <c r="B1263" i="40"/>
  <c r="B1279" i="40"/>
  <c r="B1293" i="40"/>
  <c r="B1309" i="40"/>
  <c r="B1317" i="40"/>
  <c r="B1331" i="40"/>
  <c r="B1337" i="40"/>
  <c r="B1353" i="40"/>
  <c r="B1365" i="40"/>
  <c r="B1381" i="40"/>
  <c r="B1399" i="40"/>
  <c r="B1404" i="40"/>
  <c r="B1408" i="40"/>
  <c r="B1412" i="40"/>
  <c r="B1416" i="40"/>
  <c r="B1420" i="40"/>
  <c r="B1424" i="40"/>
  <c r="B1428" i="40"/>
  <c r="B1430" i="40"/>
  <c r="B1434" i="40"/>
  <c r="B1437" i="40"/>
  <c r="B1442" i="40"/>
  <c r="B1446" i="40"/>
  <c r="B1450" i="40"/>
  <c r="B1457" i="40"/>
  <c r="B1460" i="40"/>
  <c r="B1464" i="40"/>
  <c r="B1468" i="40"/>
  <c r="B1472" i="40"/>
  <c r="B1476" i="40"/>
  <c r="B1480" i="40"/>
  <c r="B1484" i="40"/>
  <c r="B1488" i="40"/>
  <c r="B1493" i="40"/>
  <c r="B1499" i="40"/>
  <c r="B1503" i="40"/>
  <c r="B1507" i="40"/>
  <c r="B1511" i="40"/>
  <c r="B1515" i="40"/>
  <c r="B1283" i="40"/>
  <c r="B1385" i="40"/>
  <c r="B1409" i="40"/>
  <c r="B1425" i="40"/>
  <c r="B1439" i="40"/>
  <c r="B1465" i="40"/>
  <c r="B1481" i="40"/>
  <c r="B1512" i="40"/>
  <c r="B1524" i="40"/>
  <c r="B1528" i="40"/>
  <c r="B1532" i="40"/>
  <c r="B1536" i="40"/>
  <c r="B1539" i="40"/>
  <c r="B1543" i="40"/>
  <c r="B1548" i="40"/>
  <c r="B1552" i="40"/>
  <c r="B1556" i="40"/>
  <c r="B1560" i="40"/>
  <c r="B1564" i="40"/>
  <c r="B1566" i="40"/>
  <c r="B1573" i="40"/>
  <c r="B1577" i="40"/>
  <c r="B1581" i="40"/>
  <c r="B1585" i="40"/>
  <c r="B1588" i="40"/>
  <c r="B1592" i="40"/>
  <c r="B1594" i="40"/>
  <c r="B1597" i="40"/>
  <c r="B1602" i="40"/>
  <c r="B1606" i="40"/>
  <c r="B1610" i="40"/>
  <c r="B1614" i="40"/>
  <c r="B1618" i="40"/>
  <c r="B1622" i="40"/>
  <c r="B1626" i="40"/>
  <c r="B1630" i="40"/>
  <c r="B1634" i="40"/>
  <c r="B1638" i="40"/>
  <c r="B1642" i="40"/>
  <c r="B1646" i="40"/>
  <c r="B1651" i="40"/>
  <c r="B1655" i="40"/>
  <c r="B1659" i="40"/>
  <c r="B1663" i="40"/>
  <c r="B1668" i="40"/>
  <c r="B1670" i="40"/>
  <c r="B1674" i="40"/>
  <c r="B1677" i="40"/>
  <c r="B1681" i="40"/>
  <c r="B1685" i="40"/>
  <c r="B1689" i="40"/>
  <c r="B1693" i="40"/>
  <c r="B1697" i="40"/>
  <c r="B1703" i="40"/>
  <c r="B1709" i="40"/>
  <c r="B1714" i="40"/>
  <c r="B1717" i="40"/>
  <c r="B1721" i="40"/>
  <c r="B1725" i="40"/>
  <c r="B1729" i="40"/>
  <c r="B1733" i="40"/>
  <c r="B1737" i="40"/>
  <c r="B1741" i="40"/>
  <c r="B1747" i="40"/>
  <c r="B1749" i="40"/>
  <c r="B1750" i="40"/>
  <c r="B1754" i="40"/>
  <c r="B1758" i="40"/>
  <c r="B1762" i="40"/>
  <c r="B1765" i="40"/>
  <c r="B1769" i="40"/>
  <c r="B1773" i="40"/>
  <c r="B1777" i="40"/>
  <c r="B1781" i="40"/>
  <c r="B1785" i="40"/>
  <c r="B1788" i="40"/>
  <c r="B1791" i="40"/>
  <c r="B1795" i="40"/>
  <c r="B1799" i="40"/>
  <c r="B1803" i="40"/>
  <c r="B1809" i="40"/>
  <c r="B1813" i="40"/>
  <c r="B1817" i="40"/>
  <c r="B1820" i="40"/>
  <c r="B1824" i="40"/>
  <c r="B1828" i="40"/>
  <c r="B1009" i="40"/>
  <c r="B1194" i="40"/>
  <c r="B1235" i="40"/>
  <c r="B1297" i="40"/>
  <c r="B1341" i="40"/>
  <c r="B1391" i="40"/>
  <c r="B1413" i="40"/>
  <c r="B1443" i="40"/>
  <c r="B1469" i="40"/>
  <c r="B1485" i="40"/>
  <c r="B1494" i="40"/>
  <c r="B1500" i="40"/>
  <c r="B1516" i="40"/>
  <c r="B1525" i="40"/>
  <c r="B1529" i="40"/>
  <c r="E470" i="1" s="1"/>
  <c r="B1533" i="40"/>
  <c r="B1537" i="40"/>
  <c r="B1540" i="40"/>
  <c r="B1545" i="40"/>
  <c r="B1549" i="40"/>
  <c r="B1553" i="40"/>
  <c r="B1557" i="40"/>
  <c r="B1561" i="40"/>
  <c r="B1567" i="40"/>
  <c r="B1570" i="40"/>
  <c r="B1574" i="40"/>
  <c r="B1578" i="40"/>
  <c r="B1582" i="40"/>
  <c r="B1586" i="40"/>
  <c r="B1589" i="40"/>
  <c r="B1593" i="40"/>
  <c r="B1599" i="40"/>
  <c r="B1603" i="40"/>
  <c r="B1607" i="40"/>
  <c r="B1611" i="40"/>
  <c r="B1615" i="40"/>
  <c r="B1619" i="40"/>
  <c r="B1623" i="40"/>
  <c r="B1627" i="40"/>
  <c r="B1631" i="40"/>
  <c r="B1635" i="40"/>
  <c r="B1639" i="40"/>
  <c r="B1643" i="40"/>
  <c r="B1647" i="40"/>
  <c r="B1652" i="40"/>
  <c r="B1656" i="40"/>
  <c r="B1660" i="40"/>
  <c r="B1664" i="40"/>
  <c r="B1669" i="40"/>
  <c r="B1671" i="40"/>
  <c r="B1675" i="40"/>
  <c r="B1678" i="40"/>
  <c r="B1682" i="40"/>
  <c r="B1686" i="40"/>
  <c r="B1690" i="40"/>
  <c r="B1694" i="40"/>
  <c r="B1698" i="40"/>
  <c r="B1704" i="40"/>
  <c r="B1710" i="40"/>
  <c r="B1711" i="40"/>
  <c r="B1718" i="40"/>
  <c r="B1722" i="40"/>
  <c r="B1726" i="40"/>
  <c r="B1730" i="40"/>
  <c r="B1734" i="40"/>
  <c r="B1738" i="40"/>
  <c r="B1742" i="40"/>
  <c r="B1744" i="40"/>
  <c r="B1745" i="40"/>
  <c r="B1751" i="40"/>
  <c r="B1755" i="40"/>
  <c r="B1759" i="40"/>
  <c r="B1763" i="40"/>
  <c r="B1766" i="40"/>
  <c r="B1770" i="40"/>
  <c r="B1774" i="40"/>
  <c r="B1778" i="40"/>
  <c r="B1782" i="40"/>
  <c r="B1789" i="40"/>
  <c r="B1792" i="40"/>
  <c r="B1796" i="40"/>
  <c r="B1800" i="40"/>
  <c r="B1804" i="40"/>
  <c r="B1810" i="40"/>
  <c r="B1814" i="40"/>
  <c r="B1821" i="40"/>
  <c r="B1063" i="40"/>
  <c r="B1251" i="40"/>
  <c r="B1357" i="40"/>
  <c r="B1401" i="40"/>
  <c r="B1417" i="40"/>
  <c r="B1447" i="40"/>
  <c r="B1458" i="40"/>
  <c r="B1473" i="40"/>
  <c r="B1489" i="40"/>
  <c r="B1504" i="40"/>
  <c r="B1518" i="40"/>
  <c r="B1522" i="40"/>
  <c r="B1526" i="40"/>
  <c r="B1530" i="40"/>
  <c r="B1534" i="40"/>
  <c r="B1538" i="40"/>
  <c r="B1541" i="40"/>
  <c r="B1544" i="40"/>
  <c r="B1546" i="40"/>
  <c r="B1550" i="40"/>
  <c r="B1554" i="40"/>
  <c r="B1558" i="40"/>
  <c r="B1562" i="40"/>
  <c r="B1568" i="40"/>
  <c r="B1571" i="40"/>
  <c r="B1575" i="40"/>
  <c r="B1579" i="40"/>
  <c r="B1583" i="40"/>
  <c r="B1587" i="40"/>
  <c r="B1590" i="40"/>
  <c r="B1595" i="40"/>
  <c r="B1600" i="40"/>
  <c r="B1604" i="40"/>
  <c r="B1608" i="40"/>
  <c r="B1612" i="40"/>
  <c r="B1616" i="40"/>
  <c r="B1620" i="40"/>
  <c r="B1624" i="40"/>
  <c r="B1628" i="40"/>
  <c r="B1632" i="40"/>
  <c r="B1636" i="40"/>
  <c r="B1640" i="40"/>
  <c r="B1644" i="40"/>
  <c r="B1649" i="40"/>
  <c r="B1653" i="40"/>
  <c r="B1657" i="40"/>
  <c r="B1661" i="40"/>
  <c r="B1665" i="40"/>
  <c r="B1666" i="40"/>
  <c r="B1672" i="40"/>
  <c r="B1676" i="40"/>
  <c r="B1679" i="40"/>
  <c r="B1683" i="40"/>
  <c r="B1687" i="40"/>
  <c r="B1691" i="40"/>
  <c r="B1695" i="40"/>
  <c r="B1699" i="40"/>
  <c r="B1700" i="40"/>
  <c r="B1702" i="40"/>
  <c r="B1705" i="40"/>
  <c r="B1707" i="40"/>
  <c r="B1712" i="40"/>
  <c r="B1715" i="40"/>
  <c r="B1719" i="40"/>
  <c r="B1723" i="40"/>
  <c r="B1727" i="40"/>
  <c r="B1731" i="40"/>
  <c r="B1735" i="40"/>
  <c r="B1739" i="40"/>
  <c r="B1743" i="40"/>
  <c r="B1752" i="40"/>
  <c r="B1756" i="40"/>
  <c r="B1760" i="40"/>
  <c r="B1767" i="40"/>
  <c r="B1771" i="40"/>
  <c r="B1775" i="40"/>
  <c r="B1779" i="40"/>
  <c r="B1783" i="40"/>
  <c r="B1786" i="40"/>
  <c r="B1793" i="40"/>
  <c r="B1797" i="40"/>
  <c r="B1801" i="40"/>
  <c r="B1806" i="40"/>
  <c r="B1811" i="40"/>
  <c r="B1815" i="40"/>
  <c r="B1818" i="40"/>
  <c r="B1822" i="40"/>
  <c r="B1461" i="40"/>
  <c r="B1535" i="40"/>
  <c r="B1563" i="40"/>
  <c r="B1569" i="40"/>
  <c r="B1584" i="40"/>
  <c r="B1601" i="40"/>
  <c r="B1617" i="40"/>
  <c r="B1633" i="40"/>
  <c r="B1648" i="40"/>
  <c r="B1662" i="40"/>
  <c r="B1692" i="40"/>
  <c r="B1716" i="40"/>
  <c r="B1724" i="40"/>
  <c r="B1740" i="40"/>
  <c r="B1746" i="40"/>
  <c r="B1764" i="40"/>
  <c r="B1780" i="40"/>
  <c r="B1794" i="40"/>
  <c r="B1807" i="40"/>
  <c r="B1819" i="40"/>
  <c r="B1827" i="40"/>
  <c r="B1832" i="40"/>
  <c r="B1836" i="40"/>
  <c r="B1840" i="40"/>
  <c r="B1844" i="40"/>
  <c r="B1848" i="40"/>
  <c r="B1854" i="40"/>
  <c r="B1858" i="40"/>
  <c r="B1861" i="40"/>
  <c r="B1865" i="40"/>
  <c r="B1869" i="40"/>
  <c r="B1873" i="40"/>
  <c r="B1877" i="40"/>
  <c r="B1881" i="40"/>
  <c r="B1885" i="40"/>
  <c r="B1890" i="40"/>
  <c r="B1896" i="40"/>
  <c r="B1900" i="40"/>
  <c r="B1904" i="40"/>
  <c r="B1907" i="40"/>
  <c r="B1911" i="40"/>
  <c r="B1915" i="40"/>
  <c r="B1919" i="40"/>
  <c r="B1923" i="40"/>
  <c r="B1927" i="40"/>
  <c r="B1931" i="40"/>
  <c r="B1933" i="40"/>
  <c r="B1935" i="40"/>
  <c r="B1939" i="40"/>
  <c r="B1946" i="40"/>
  <c r="B1949" i="40"/>
  <c r="B1951" i="40"/>
  <c r="B1955" i="40"/>
  <c r="B1959" i="40"/>
  <c r="B1963" i="40"/>
  <c r="B1967" i="40"/>
  <c r="B1969" i="40"/>
  <c r="B1973" i="40"/>
  <c r="B1977" i="40"/>
  <c r="B1981" i="40"/>
  <c r="B1985" i="40"/>
  <c r="B1989" i="40"/>
  <c r="B1993" i="40"/>
  <c r="B1997" i="40"/>
  <c r="B2001" i="40"/>
  <c r="B2005" i="40"/>
  <c r="B2009" i="40"/>
  <c r="B2013" i="40"/>
  <c r="B2017" i="40"/>
  <c r="B2021" i="40"/>
  <c r="B2025" i="40"/>
  <c r="B2029" i="40"/>
  <c r="B2033" i="40"/>
  <c r="B2037" i="40"/>
  <c r="B2041" i="40"/>
  <c r="B2045" i="40"/>
  <c r="B2049" i="40"/>
  <c r="B2053" i="40"/>
  <c r="B2057" i="40"/>
  <c r="B2061" i="40"/>
  <c r="B2065" i="40"/>
  <c r="B2069" i="40"/>
  <c r="B2073" i="40"/>
  <c r="B2077" i="40"/>
  <c r="B2081" i="40"/>
  <c r="B2085" i="40"/>
  <c r="B2089" i="40"/>
  <c r="B2093" i="40"/>
  <c r="B2097" i="40"/>
  <c r="B2101" i="40"/>
  <c r="B2105" i="40"/>
  <c r="B2109" i="40"/>
  <c r="B2113" i="40"/>
  <c r="B2117" i="40"/>
  <c r="B2121" i="40"/>
  <c r="B2125" i="40"/>
  <c r="B2129" i="40"/>
  <c r="B2133" i="40"/>
  <c r="B2137" i="40"/>
  <c r="B2140" i="40"/>
  <c r="B2146" i="40"/>
  <c r="B2150" i="40"/>
  <c r="B2154" i="40"/>
  <c r="B2158" i="40"/>
  <c r="B2162" i="40"/>
  <c r="B2166" i="40"/>
  <c r="B2170" i="40"/>
  <c r="B2176" i="40"/>
  <c r="B2179" i="40"/>
  <c r="B2183" i="40"/>
  <c r="B2187" i="40"/>
  <c r="B2193" i="40"/>
  <c r="B2198" i="40"/>
  <c r="B2201" i="40"/>
  <c r="B2205" i="40"/>
  <c r="B2210" i="40"/>
  <c r="B2214" i="40"/>
  <c r="B2218" i="40"/>
  <c r="B2222" i="40"/>
  <c r="B1110" i="40"/>
  <c r="B1369" i="40"/>
  <c r="B1477" i="40"/>
  <c r="B1508" i="40"/>
  <c r="B1523" i="40"/>
  <c r="B1551" i="40"/>
  <c r="B1572" i="40"/>
  <c r="B1591" i="40"/>
  <c r="B1596" i="40"/>
  <c r="B1605" i="40"/>
  <c r="B1621" i="40"/>
  <c r="B1637" i="40"/>
  <c r="B1650" i="40"/>
  <c r="B1667" i="40"/>
  <c r="B1680" i="40"/>
  <c r="B1696" i="40"/>
  <c r="B1706" i="40"/>
  <c r="B1720" i="40"/>
  <c r="B1728" i="40"/>
  <c r="B1753" i="40"/>
  <c r="B1768" i="40"/>
  <c r="B1784" i="40"/>
  <c r="B1798" i="40"/>
  <c r="B1808" i="40"/>
  <c r="B1823" i="40"/>
  <c r="B1829" i="40"/>
  <c r="B1833" i="40"/>
  <c r="B1837" i="40"/>
  <c r="B1841" i="40"/>
  <c r="B1845" i="40"/>
  <c r="B1849" i="40"/>
  <c r="B1855" i="40"/>
  <c r="B1862" i="40"/>
  <c r="B1866" i="40"/>
  <c r="B1870" i="40"/>
  <c r="B1874" i="40"/>
  <c r="B1878" i="40"/>
  <c r="B1882" i="40"/>
  <c r="B1887" i="40"/>
  <c r="B1891" i="40"/>
  <c r="B1893" i="40"/>
  <c r="B1897" i="40"/>
  <c r="B1901" i="40"/>
  <c r="B1905" i="40"/>
  <c r="B1908" i="40"/>
  <c r="B1912" i="40"/>
  <c r="B1916" i="40"/>
  <c r="B1917" i="40"/>
  <c r="B1920" i="40"/>
  <c r="B1924" i="40"/>
  <c r="B1928" i="40"/>
  <c r="B1934" i="40"/>
  <c r="B1936" i="40"/>
  <c r="B1940" i="40"/>
  <c r="B1944" i="40"/>
  <c r="B1947" i="40"/>
  <c r="B1950" i="40"/>
  <c r="B1952" i="40"/>
  <c r="B1956" i="40"/>
  <c r="B1960" i="40"/>
  <c r="B1964" i="40"/>
  <c r="B1970" i="40"/>
  <c r="B1974" i="40"/>
  <c r="B1978" i="40"/>
  <c r="B1982" i="40"/>
  <c r="B1986" i="40"/>
  <c r="B1990" i="40"/>
  <c r="B1994" i="40"/>
  <c r="B1998" i="40"/>
  <c r="B2002" i="40"/>
  <c r="B2006" i="40"/>
  <c r="B2010" i="40"/>
  <c r="B2014" i="40"/>
  <c r="B2018" i="40"/>
  <c r="B2022" i="40"/>
  <c r="B2026" i="40"/>
  <c r="B2030" i="40"/>
  <c r="B2034" i="40"/>
  <c r="B2038" i="40"/>
  <c r="B2042" i="40"/>
  <c r="B2046" i="40"/>
  <c r="B2050" i="40"/>
  <c r="B2054" i="40"/>
  <c r="B2058" i="40"/>
  <c r="B2062" i="40"/>
  <c r="B2066" i="40"/>
  <c r="B2070" i="40"/>
  <c r="B2074" i="40"/>
  <c r="B2078" i="40"/>
  <c r="B2082" i="40"/>
  <c r="B2086" i="40"/>
  <c r="B2090" i="40"/>
  <c r="B2094" i="40"/>
  <c r="B2098" i="40"/>
  <c r="B2102" i="40"/>
  <c r="B2106" i="40"/>
  <c r="B2110" i="40"/>
  <c r="B2114" i="40"/>
  <c r="B2118" i="40"/>
  <c r="B2122" i="40"/>
  <c r="B2126" i="40"/>
  <c r="B2130" i="40"/>
  <c r="B2134" i="40"/>
  <c r="B2138" i="40"/>
  <c r="B2141" i="40"/>
  <c r="B2143" i="40"/>
  <c r="B2147" i="40"/>
  <c r="B2151" i="40"/>
  <c r="B2155" i="40"/>
  <c r="B2159" i="40"/>
  <c r="B2163" i="40"/>
  <c r="B2167" i="40"/>
  <c r="B2171" i="40"/>
  <c r="B2177" i="40"/>
  <c r="B2180" i="40"/>
  <c r="B2184" i="40"/>
  <c r="B2188" i="40"/>
  <c r="B2194" i="40"/>
  <c r="B2196" i="40"/>
  <c r="B2199" i="40"/>
  <c r="B2202" i="40"/>
  <c r="B2206" i="40"/>
  <c r="B2208" i="40"/>
  <c r="B2211" i="40"/>
  <c r="B2215" i="40"/>
  <c r="B2219" i="40"/>
  <c r="B2223" i="40"/>
  <c r="B1210" i="40"/>
  <c r="B1405" i="40"/>
  <c r="B1519" i="40"/>
  <c r="B1527" i="40"/>
  <c r="B1547" i="40"/>
  <c r="B1555" i="40"/>
  <c r="B1576" i="40"/>
  <c r="B1609" i="40"/>
  <c r="B1625" i="40"/>
  <c r="B1641" i="40"/>
  <c r="B1654" i="40"/>
  <c r="B1684" i="40"/>
  <c r="B1708" i="40"/>
  <c r="B1732" i="40"/>
  <c r="B1757" i="40"/>
  <c r="B1772" i="40"/>
  <c r="B1787" i="40"/>
  <c r="B1802" i="40"/>
  <c r="B1812" i="40"/>
  <c r="B1825" i="40"/>
  <c r="B1830" i="40"/>
  <c r="B1834" i="40"/>
  <c r="B1838" i="40"/>
  <c r="B1842" i="40"/>
  <c r="B1846" i="40"/>
  <c r="B1850" i="40"/>
  <c r="B1851" i="40"/>
  <c r="B1853" i="40"/>
  <c r="B1856" i="40"/>
  <c r="B1859" i="40"/>
  <c r="B1863" i="40"/>
  <c r="B1867" i="40"/>
  <c r="B1871" i="40"/>
  <c r="B1875" i="40"/>
  <c r="B1879" i="40"/>
  <c r="B1883" i="40"/>
  <c r="B1888" i="40"/>
  <c r="B1892" i="40"/>
  <c r="B1894" i="40"/>
  <c r="B1898" i="40"/>
  <c r="B1902" i="40"/>
  <c r="B1909" i="40"/>
  <c r="B1913" i="40"/>
  <c r="B1921" i="40"/>
  <c r="B1925" i="40"/>
  <c r="B1929" i="40"/>
  <c r="B1937" i="40"/>
  <c r="B1941" i="40"/>
  <c r="B1945" i="40"/>
  <c r="B1953" i="40"/>
  <c r="B1957" i="40"/>
  <c r="B1961" i="40"/>
  <c r="B1965" i="40"/>
  <c r="B1971" i="40"/>
  <c r="B1975" i="40"/>
  <c r="B1979" i="40"/>
  <c r="B1983" i="40"/>
  <c r="B1987" i="40"/>
  <c r="B1991" i="40"/>
  <c r="B1995" i="40"/>
  <c r="B1999" i="40"/>
  <c r="B2003" i="40"/>
  <c r="B2007" i="40"/>
  <c r="B2011" i="40"/>
  <c r="B2015" i="40"/>
  <c r="B2019" i="40"/>
  <c r="B2023" i="40"/>
  <c r="B2027" i="40"/>
  <c r="B2031" i="40"/>
  <c r="B2035" i="40"/>
  <c r="B2039" i="40"/>
  <c r="B2043" i="40"/>
  <c r="B2047" i="40"/>
  <c r="B2051" i="40"/>
  <c r="B2055" i="40"/>
  <c r="B2059" i="40"/>
  <c r="B2063" i="40"/>
  <c r="B2067" i="40"/>
  <c r="B2071" i="40"/>
  <c r="B2075" i="40"/>
  <c r="B2079" i="40"/>
  <c r="B2083" i="40"/>
  <c r="B2087" i="40"/>
  <c r="B2091" i="40"/>
  <c r="B2095" i="40"/>
  <c r="B2099" i="40"/>
  <c r="B2103" i="40"/>
  <c r="B2107" i="40"/>
  <c r="B2111" i="40"/>
  <c r="B2115" i="40"/>
  <c r="B2119" i="40"/>
  <c r="B2123" i="40"/>
  <c r="B2127" i="40"/>
  <c r="B2131" i="40"/>
  <c r="B2135" i="40"/>
  <c r="B2139" i="40"/>
  <c r="B2142" i="40"/>
  <c r="B2144" i="40"/>
  <c r="B2148" i="40"/>
  <c r="B2152" i="40"/>
  <c r="B2156" i="40"/>
  <c r="B2160" i="40"/>
  <c r="B2164" i="40"/>
  <c r="B2168" i="40"/>
  <c r="B2172" i="40"/>
  <c r="B2174" i="40"/>
  <c r="B2178" i="40"/>
  <c r="B2181" i="40"/>
  <c r="B2185" i="40"/>
  <c r="B2189" i="40"/>
  <c r="B2191" i="40"/>
  <c r="B2195" i="40"/>
  <c r="B2200" i="40"/>
  <c r="B2203" i="40"/>
  <c r="B2212" i="40"/>
  <c r="B2216" i="40"/>
  <c r="B2220" i="40"/>
  <c r="B1559" i="40"/>
  <c r="B1645" i="40"/>
  <c r="B1688" i="40"/>
  <c r="B1713" i="40"/>
  <c r="B1790" i="40"/>
  <c r="B1831" i="40"/>
  <c r="B1847" i="40"/>
  <c r="B1857" i="40"/>
  <c r="B1872" i="40"/>
  <c r="B1886" i="40"/>
  <c r="B1906" i="40"/>
  <c r="B1918" i="40"/>
  <c r="B1930" i="40"/>
  <c r="B1938" i="40"/>
  <c r="B1958" i="40"/>
  <c r="B1972" i="40"/>
  <c r="B1988" i="40"/>
  <c r="B2004" i="40"/>
  <c r="B2020" i="40"/>
  <c r="B2036" i="40"/>
  <c r="B2052" i="40"/>
  <c r="B2068" i="40"/>
  <c r="B2084" i="40"/>
  <c r="B2100" i="40"/>
  <c r="B2116" i="40"/>
  <c r="B2132" i="40"/>
  <c r="B2145" i="40"/>
  <c r="B2161" i="40"/>
  <c r="B2175" i="40"/>
  <c r="B2190" i="40"/>
  <c r="B2217" i="40"/>
  <c r="B2226" i="40"/>
  <c r="B2230" i="40"/>
  <c r="B2234" i="40"/>
  <c r="B2242" i="40"/>
  <c r="B2246" i="40"/>
  <c r="B2260" i="40"/>
  <c r="B2267" i="40"/>
  <c r="B2278" i="40"/>
  <c r="B2282" i="40"/>
  <c r="B2284" i="40"/>
  <c r="B2288" i="40"/>
  <c r="B2292" i="40"/>
  <c r="B2296" i="40"/>
  <c r="B2300" i="40"/>
  <c r="B2304" i="40"/>
  <c r="B2308" i="40"/>
  <c r="B2312" i="40"/>
  <c r="B2316" i="40"/>
  <c r="B2320" i="40"/>
  <c r="B2324" i="40"/>
  <c r="B2328" i="40"/>
  <c r="B2332" i="40"/>
  <c r="B2336" i="40"/>
  <c r="B2340" i="40"/>
  <c r="B2344" i="40"/>
  <c r="B2348" i="40"/>
  <c r="B2352" i="40"/>
  <c r="B2355" i="40"/>
  <c r="B2359" i="40"/>
  <c r="B2363" i="40"/>
  <c r="B2367" i="40"/>
  <c r="B2373" i="40"/>
  <c r="B2375" i="40"/>
  <c r="B2382" i="40"/>
  <c r="B2386" i="40"/>
  <c r="B2390" i="40"/>
  <c r="B2394" i="40"/>
  <c r="B2400" i="40"/>
  <c r="B2402" i="40"/>
  <c r="B2406" i="40"/>
  <c r="B2411" i="40"/>
  <c r="B2415" i="40"/>
  <c r="B2418" i="40"/>
  <c r="B2424" i="40"/>
  <c r="B2427" i="40"/>
  <c r="B2431" i="40"/>
  <c r="B2435" i="40"/>
  <c r="B1267" i="40"/>
  <c r="B1565" i="40"/>
  <c r="B1598" i="40"/>
  <c r="B1658" i="40"/>
  <c r="B1701" i="40"/>
  <c r="B1748" i="40"/>
  <c r="B1805" i="40"/>
  <c r="B1835" i="40"/>
  <c r="B1860" i="40"/>
  <c r="B1876" i="40"/>
  <c r="B1889" i="40"/>
  <c r="B1895" i="40"/>
  <c r="B1910" i="40"/>
  <c r="B1922" i="40"/>
  <c r="B1942" i="40"/>
  <c r="B1948" i="40"/>
  <c r="B1962" i="40"/>
  <c r="B1976" i="40"/>
  <c r="B1992" i="40"/>
  <c r="B2008" i="40"/>
  <c r="B2024" i="40"/>
  <c r="B2040" i="40"/>
  <c r="B2056" i="40"/>
  <c r="B2072" i="40"/>
  <c r="B2088" i="40"/>
  <c r="B2104" i="40"/>
  <c r="B2120" i="40"/>
  <c r="B2136" i="40"/>
  <c r="B2149" i="40"/>
  <c r="B2165" i="40"/>
  <c r="B2192" i="40"/>
  <c r="B2204" i="40"/>
  <c r="B2221" i="40"/>
  <c r="B2227" i="40"/>
  <c r="B2231" i="40"/>
  <c r="B2235" i="40"/>
  <c r="B2239" i="40"/>
  <c r="B2243" i="40"/>
  <c r="B2247" i="40"/>
  <c r="B2250" i="40"/>
  <c r="B2255" i="40"/>
  <c r="B2261" i="40"/>
  <c r="B2264" i="40"/>
  <c r="B2268" i="40"/>
  <c r="B2272" i="40"/>
  <c r="B2275" i="40"/>
  <c r="B2279" i="40"/>
  <c r="B2283" i="40"/>
  <c r="B2285" i="40"/>
  <c r="B2289" i="40"/>
  <c r="B2293" i="40"/>
  <c r="B2297" i="40"/>
  <c r="B2301" i="40"/>
  <c r="B2305" i="40"/>
  <c r="B2309" i="40"/>
  <c r="B2313" i="40"/>
  <c r="B2317" i="40"/>
  <c r="B2321" i="40"/>
  <c r="B2325" i="40"/>
  <c r="B2329" i="40"/>
  <c r="B2333" i="40"/>
  <c r="B2337" i="40"/>
  <c r="B2341" i="40"/>
  <c r="B2345" i="40"/>
  <c r="B2349" i="40"/>
  <c r="B2360" i="40"/>
  <c r="B2364" i="40"/>
  <c r="B2368" i="40"/>
  <c r="B2369" i="40"/>
  <c r="B2374" i="40"/>
  <c r="B2376" i="40"/>
  <c r="B2379" i="40"/>
  <c r="B2383" i="40"/>
  <c r="B2387" i="40"/>
  <c r="B2391" i="40"/>
  <c r="B2395" i="40"/>
  <c r="B2401" i="40"/>
  <c r="B2403" i="40"/>
  <c r="B2407" i="40"/>
  <c r="B2412" i="40"/>
  <c r="B2416" i="40"/>
  <c r="B2421" i="40"/>
  <c r="B2425" i="40"/>
  <c r="B2428" i="40"/>
  <c r="B2432" i="40"/>
  <c r="B1421" i="40"/>
  <c r="B1542" i="40"/>
  <c r="B1580" i="40"/>
  <c r="B1613" i="40"/>
  <c r="B1736" i="40"/>
  <c r="B1761" i="40"/>
  <c r="B1816" i="40"/>
  <c r="B1839" i="40"/>
  <c r="B1852" i="40"/>
  <c r="B1864" i="40"/>
  <c r="B1880" i="40"/>
  <c r="B1899" i="40"/>
  <c r="B1914" i="40"/>
  <c r="B1926" i="40"/>
  <c r="B1932" i="40"/>
  <c r="B1943" i="40"/>
  <c r="B1966" i="40"/>
  <c r="B1980" i="40"/>
  <c r="B1996" i="40"/>
  <c r="B2012" i="40"/>
  <c r="B2028" i="40"/>
  <c r="B2044" i="40"/>
  <c r="B2060" i="40"/>
  <c r="B2076" i="40"/>
  <c r="B2092" i="40"/>
  <c r="B2108" i="40"/>
  <c r="B2124" i="40"/>
  <c r="B2153" i="40"/>
  <c r="B2169" i="40"/>
  <c r="B2182" i="40"/>
  <c r="B2207" i="40"/>
  <c r="B2209" i="40"/>
  <c r="B2224" i="40"/>
  <c r="B2228" i="40"/>
  <c r="B2232" i="40"/>
  <c r="B2236" i="40"/>
  <c r="B2240" i="40"/>
  <c r="B2244" i="40"/>
  <c r="B2248" i="40"/>
  <c r="B2251" i="40"/>
  <c r="B2253" i="40"/>
  <c r="B2256" i="40"/>
  <c r="B2258" i="40"/>
  <c r="B2262" i="40"/>
  <c r="B2265" i="40"/>
  <c r="B2269" i="40"/>
  <c r="B2271" i="40"/>
  <c r="B2273" i="40"/>
  <c r="B2276" i="40"/>
  <c r="B2280" i="40"/>
  <c r="B2286" i="40"/>
  <c r="B2290" i="40"/>
  <c r="B2294" i="40"/>
  <c r="B2298" i="40"/>
  <c r="B2302" i="40"/>
  <c r="B2306" i="40"/>
  <c r="B2310" i="40"/>
  <c r="B2314" i="40"/>
  <c r="B2318" i="40"/>
  <c r="B2322" i="40"/>
  <c r="B2326" i="40"/>
  <c r="B2330" i="40"/>
  <c r="B2334" i="40"/>
  <c r="B2338" i="40"/>
  <c r="B2342" i="40"/>
  <c r="B2346" i="40"/>
  <c r="B2350" i="40"/>
  <c r="B2353" i="40"/>
  <c r="B2356" i="40"/>
  <c r="B2357" i="40"/>
  <c r="B2361" i="40"/>
  <c r="B2365" i="40"/>
  <c r="B2370" i="40"/>
  <c r="B2371" i="40"/>
  <c r="B2377" i="40"/>
  <c r="B2380" i="40"/>
  <c r="B2384" i="40"/>
  <c r="B2388" i="40"/>
  <c r="B2392" i="40"/>
  <c r="B2396" i="40"/>
  <c r="B2398" i="40"/>
  <c r="B2404" i="40"/>
  <c r="B2408" i="40"/>
  <c r="B2413" i="40"/>
  <c r="B2419" i="40"/>
  <c r="B2420" i="40"/>
  <c r="B2422" i="40"/>
  <c r="B2426" i="40"/>
  <c r="B2429" i="40"/>
  <c r="B2433" i="40"/>
  <c r="B1843" i="40"/>
  <c r="B1968" i="40"/>
  <c r="B2032" i="40"/>
  <c r="B2096" i="40"/>
  <c r="B2157" i="40"/>
  <c r="B2229" i="40"/>
  <c r="B2237" i="40"/>
  <c r="B2249" i="40"/>
  <c r="B2257" i="40"/>
  <c r="B2274" i="40"/>
  <c r="B2295" i="40"/>
  <c r="B2311" i="40"/>
  <c r="B2327" i="40"/>
  <c r="B2343" i="40"/>
  <c r="B2354" i="40"/>
  <c r="B2358" i="40"/>
  <c r="B2372" i="40"/>
  <c r="B2385" i="40"/>
  <c r="B2399" i="40"/>
  <c r="B2409" i="40"/>
  <c r="B2434" i="40"/>
  <c r="B1451" i="40"/>
  <c r="B1984" i="40"/>
  <c r="B2048" i="40"/>
  <c r="B2112" i="40"/>
  <c r="B2173" i="40"/>
  <c r="B2233" i="40"/>
  <c r="B2238" i="40"/>
  <c r="B2252" i="40"/>
  <c r="B2259" i="40"/>
  <c r="B2266" i="40"/>
  <c r="B2277" i="40"/>
  <c r="B2299" i="40"/>
  <c r="B2315" i="40"/>
  <c r="B2331" i="40"/>
  <c r="B2347" i="40"/>
  <c r="B2362" i="40"/>
  <c r="B2389" i="40"/>
  <c r="B2410" i="40"/>
  <c r="B2423" i="40"/>
  <c r="B1531" i="40"/>
  <c r="B1629" i="40"/>
  <c r="B1776" i="40"/>
  <c r="B1868" i="40"/>
  <c r="B1903" i="40"/>
  <c r="B2000" i="40"/>
  <c r="B2064" i="40"/>
  <c r="B2128" i="40"/>
  <c r="B2186" i="40"/>
  <c r="B2213" i="40"/>
  <c r="B2241" i="40"/>
  <c r="B2254" i="40"/>
  <c r="B2263" i="40"/>
  <c r="B2270" i="40"/>
  <c r="B2281" i="40"/>
  <c r="B2287" i="40"/>
  <c r="B2303" i="40"/>
  <c r="B2319" i="40"/>
  <c r="B2335" i="40"/>
  <c r="B2351" i="40"/>
  <c r="B2366" i="40"/>
  <c r="B2378" i="40"/>
  <c r="B2393" i="40"/>
  <c r="B2405" i="40"/>
  <c r="B2414" i="40"/>
  <c r="B1884" i="40"/>
  <c r="B2080" i="40"/>
  <c r="B2307" i="40"/>
  <c r="B2417" i="40"/>
  <c r="B2323" i="40"/>
  <c r="B2381" i="40"/>
  <c r="B1673" i="40"/>
  <c r="B1954" i="40"/>
  <c r="B2197" i="40"/>
  <c r="B2245" i="40"/>
  <c r="B2339" i="40"/>
  <c r="B2397" i="40"/>
  <c r="B2430" i="40"/>
  <c r="B1826" i="40"/>
  <c r="B2291" i="40"/>
  <c r="B2016" i="40"/>
  <c r="B2225" i="40"/>
  <c r="B44" i="72"/>
  <c r="C7" i="81"/>
  <c r="C7" i="80"/>
  <c r="F598" i="1" l="1"/>
  <c r="E598" i="1"/>
  <c r="E417" i="1"/>
  <c r="F417" i="1"/>
  <c r="E597" i="1"/>
  <c r="F597" i="1"/>
  <c r="E418" i="1"/>
  <c r="F418" i="1"/>
  <c r="E599" i="1"/>
  <c r="F599" i="1"/>
  <c r="U8" i="86"/>
  <c r="T8" i="86"/>
  <c r="R9" i="86"/>
  <c r="R10" i="86" s="1"/>
  <c r="R11" i="86" s="1"/>
  <c r="R12" i="86" s="1"/>
  <c r="R13" i="86" s="1"/>
  <c r="R14" i="86" s="1"/>
  <c r="S8" i="86"/>
  <c r="O10" i="86"/>
  <c r="O11" i="86" s="1"/>
  <c r="O7" i="86"/>
  <c r="O8" i="86" s="1"/>
  <c r="N12" i="86"/>
  <c r="M13" i="85"/>
  <c r="R28" i="85"/>
  <c r="S28" i="85" s="1"/>
  <c r="V28" i="85" s="1"/>
  <c r="R23" i="85"/>
  <c r="S23" i="85" s="1"/>
  <c r="V23" i="85" s="1"/>
  <c r="U17" i="85"/>
  <c r="U9" i="85" s="1"/>
  <c r="R31" i="85"/>
  <c r="S31" i="85" s="1"/>
  <c r="U31" i="85" s="1"/>
  <c r="R22" i="85"/>
  <c r="S22" i="85" s="1"/>
  <c r="U22" i="85" s="1"/>
  <c r="R25" i="85"/>
  <c r="S25" i="85" s="1"/>
  <c r="U25" i="85" s="1"/>
  <c r="R27" i="85"/>
  <c r="S27" i="85" s="1"/>
  <c r="T17" i="85"/>
  <c r="T9" i="85" s="1"/>
  <c r="R32" i="85"/>
  <c r="S32" i="85" s="1"/>
  <c r="R29" i="85"/>
  <c r="S29" i="85" s="1"/>
  <c r="T29" i="85" s="1"/>
  <c r="R21" i="85"/>
  <c r="S21" i="85" s="1"/>
  <c r="T21" i="85" s="1"/>
  <c r="S17" i="85"/>
  <c r="S9" i="85" s="1"/>
  <c r="R24" i="85"/>
  <c r="S24" i="85" s="1"/>
  <c r="R30" i="85"/>
  <c r="S30" i="85" s="1"/>
  <c r="R26" i="85"/>
  <c r="S26" i="85" s="1"/>
  <c r="F308" i="1"/>
  <c r="E308" i="1"/>
  <c r="E734" i="1"/>
  <c r="F734" i="1"/>
  <c r="E218" i="1"/>
  <c r="F218" i="1"/>
  <c r="F236" i="1"/>
  <c r="E236" i="1"/>
  <c r="E160" i="1"/>
  <c r="F160" i="1"/>
  <c r="F235" i="1"/>
  <c r="E235" i="1"/>
  <c r="F234" i="1"/>
  <c r="E234" i="1"/>
  <c r="F211" i="1"/>
  <c r="E211" i="1"/>
  <c r="F469" i="1"/>
  <c r="E469" i="1"/>
  <c r="E710" i="1"/>
  <c r="E712" i="1"/>
  <c r="F710" i="1"/>
  <c r="F712" i="1"/>
  <c r="E214" i="1"/>
  <c r="F214" i="1"/>
  <c r="F518" i="1"/>
  <c r="E518" i="1"/>
  <c r="F385" i="1"/>
  <c r="E732" i="1"/>
  <c r="E385" i="1"/>
  <c r="F732" i="1"/>
  <c r="F289" i="1"/>
  <c r="E289" i="1"/>
  <c r="F528" i="1"/>
  <c r="E528" i="1"/>
  <c r="F219" i="1"/>
  <c r="E219" i="1"/>
  <c r="F165" i="1"/>
  <c r="E165" i="1"/>
  <c r="F83" i="1"/>
  <c r="E83" i="1"/>
  <c r="E170" i="1"/>
  <c r="F170" i="1"/>
  <c r="E216" i="1"/>
  <c r="F216" i="1"/>
  <c r="F531" i="1"/>
  <c r="E531" i="1"/>
  <c r="F501" i="1"/>
  <c r="E501" i="1"/>
  <c r="F729" i="1"/>
  <c r="E729" i="1"/>
  <c r="F291" i="1"/>
  <c r="E291" i="1"/>
  <c r="E174" i="1"/>
  <c r="F174" i="1"/>
  <c r="E221" i="1"/>
  <c r="F221" i="1"/>
  <c r="F596" i="1"/>
  <c r="E596" i="1"/>
  <c r="E74" i="1"/>
  <c r="F74" i="1"/>
  <c r="F81" i="1"/>
  <c r="E81" i="1"/>
  <c r="E288" i="1"/>
  <c r="F288" i="1"/>
  <c r="E168" i="1"/>
  <c r="F168" i="1"/>
  <c r="F247" i="1"/>
  <c r="E247" i="1"/>
  <c r="F250" i="1"/>
  <c r="E250" i="1"/>
  <c r="F536" i="1"/>
  <c r="E536" i="1"/>
  <c r="F161" i="1"/>
  <c r="E161" i="1"/>
  <c r="E537" i="1"/>
  <c r="F537" i="1"/>
  <c r="F412" i="1"/>
  <c r="E412" i="1"/>
  <c r="E736" i="1"/>
  <c r="F736" i="1"/>
  <c r="E164" i="1"/>
  <c r="F164" i="1"/>
  <c r="F75" i="1"/>
  <c r="E75" i="1"/>
  <c r="E166" i="1"/>
  <c r="F166" i="1"/>
  <c r="F77" i="1"/>
  <c r="E77" i="1"/>
  <c r="E162" i="1"/>
  <c r="F162" i="1"/>
  <c r="E82" i="1"/>
  <c r="F82" i="1"/>
  <c r="F169" i="1"/>
  <c r="E169" i="1"/>
  <c r="F171" i="1"/>
  <c r="E171" i="1"/>
  <c r="F167" i="1"/>
  <c r="E167" i="1"/>
  <c r="F293" i="1"/>
  <c r="E293" i="1"/>
  <c r="E292" i="1"/>
  <c r="F292" i="1"/>
  <c r="E595" i="1"/>
  <c r="F595" i="1"/>
  <c r="E223" i="1"/>
  <c r="F223" i="1"/>
  <c r="F353" i="1"/>
  <c r="E353" i="1"/>
  <c r="F459" i="1"/>
  <c r="E459" i="1"/>
  <c r="E222" i="1"/>
  <c r="F222" i="1"/>
  <c r="F249" i="1"/>
  <c r="E249" i="1"/>
  <c r="E735" i="1"/>
  <c r="F735" i="1"/>
  <c r="F409" i="1"/>
  <c r="E409" i="1"/>
  <c r="F237" i="1"/>
  <c r="E237" i="1"/>
  <c r="E733" i="1"/>
  <c r="F733" i="1"/>
  <c r="F306" i="1"/>
  <c r="F307" i="1"/>
  <c r="E306" i="1"/>
  <c r="E307" i="1"/>
  <c r="F383" i="1"/>
  <c r="F384" i="1"/>
  <c r="E731" i="1"/>
  <c r="E383" i="1"/>
  <c r="E384" i="1"/>
  <c r="F731" i="1"/>
  <c r="F215" i="1"/>
  <c r="E215" i="1"/>
  <c r="F527" i="1"/>
  <c r="E527" i="1"/>
  <c r="F217" i="1"/>
  <c r="E217" i="1"/>
  <c r="E290" i="1"/>
  <c r="F290" i="1"/>
  <c r="E80" i="1"/>
  <c r="F80" i="1"/>
  <c r="E213" i="1"/>
  <c r="F213" i="1"/>
  <c r="F500" i="1"/>
  <c r="E500" i="1"/>
  <c r="F499" i="1"/>
  <c r="E499" i="1"/>
  <c r="E719" i="1"/>
  <c r="E294" i="1"/>
  <c r="F294" i="1"/>
  <c r="F357" i="1"/>
  <c r="E357" i="1"/>
  <c r="E665" i="1"/>
  <c r="F665" i="1"/>
  <c r="F397" i="1"/>
  <c r="E397" i="1"/>
  <c r="E173" i="1"/>
  <c r="F173" i="1"/>
  <c r="E172" i="1"/>
  <c r="F172" i="1"/>
  <c r="F449" i="1"/>
  <c r="E449" i="1"/>
  <c r="E730" i="1"/>
  <c r="F730" i="1"/>
  <c r="E471" i="1"/>
  <c r="F471" i="1"/>
  <c r="F713" i="1"/>
  <c r="F711" i="1"/>
  <c r="E713" i="1"/>
  <c r="E711" i="1"/>
  <c r="F248" i="1"/>
  <c r="E248" i="1"/>
  <c r="E728" i="1"/>
  <c r="F461" i="1"/>
  <c r="F728" i="1"/>
  <c r="E461" i="1"/>
  <c r="F220" i="1"/>
  <c r="E220" i="1"/>
  <c r="E78" i="1"/>
  <c r="F78" i="1"/>
  <c r="F163" i="1"/>
  <c r="E163" i="1"/>
  <c r="E212" i="1"/>
  <c r="F212" i="1"/>
  <c r="E76" i="1"/>
  <c r="F76" i="1"/>
  <c r="E398" i="1"/>
  <c r="F398" i="1"/>
  <c r="E406" i="1"/>
  <c r="F406" i="1"/>
  <c r="F224" i="1"/>
  <c r="E224" i="1"/>
  <c r="F519" i="1"/>
  <c r="E519" i="1"/>
  <c r="F79" i="1"/>
  <c r="E79" i="1"/>
  <c r="E521" i="1"/>
  <c r="F521" i="1"/>
  <c r="F367" i="1"/>
  <c r="E367" i="1"/>
  <c r="F719" i="1"/>
  <c r="E720" i="1"/>
  <c r="F720" i="1"/>
  <c r="E717" i="1"/>
  <c r="F717" i="1"/>
  <c r="E723" i="1"/>
  <c r="F723" i="1"/>
  <c r="F718" i="1"/>
  <c r="E718" i="1"/>
  <c r="E722" i="1"/>
  <c r="F722" i="1"/>
  <c r="E724" i="1"/>
  <c r="F724" i="1"/>
  <c r="E715" i="1"/>
  <c r="F715" i="1"/>
  <c r="F470" i="1"/>
  <c r="E460" i="1"/>
  <c r="F460" i="1"/>
  <c r="E721" i="1"/>
  <c r="F721" i="1"/>
  <c r="E716" i="1"/>
  <c r="F716" i="1"/>
  <c r="B32" i="71"/>
  <c r="C9" i="81"/>
  <c r="C10" i="81" s="1"/>
  <c r="C7" i="78"/>
  <c r="C8" i="78" s="1"/>
  <c r="C9" i="78" s="1"/>
  <c r="K4" i="30"/>
  <c r="A15" i="53"/>
  <c r="B7" i="80"/>
  <c r="B8" i="80" s="1"/>
  <c r="B560" i="40"/>
  <c r="B573" i="40"/>
  <c r="B934" i="40"/>
  <c r="B426" i="40"/>
  <c r="B294" i="40"/>
  <c r="B322" i="40"/>
  <c r="B19" i="40"/>
  <c r="B64" i="40"/>
  <c r="B81" i="40"/>
  <c r="B590" i="40"/>
  <c r="B517" i="40"/>
  <c r="B530" i="40"/>
  <c r="B577" i="40"/>
  <c r="B935" i="40"/>
  <c r="B936" i="40"/>
  <c r="B937" i="40"/>
  <c r="B938" i="40"/>
  <c r="B939" i="40"/>
  <c r="B940" i="40"/>
  <c r="B941" i="40"/>
  <c r="B942" i="40"/>
  <c r="B943" i="40"/>
  <c r="B944" i="40"/>
  <c r="B371" i="40"/>
  <c r="B349" i="40"/>
  <c r="B223" i="40"/>
  <c r="B300" i="40"/>
  <c r="B19" i="57" s="1"/>
  <c r="B197" i="40"/>
  <c r="B18" i="57" s="1"/>
  <c r="B492" i="40"/>
  <c r="B493" i="40"/>
  <c r="B945" i="40"/>
  <c r="B592" i="40"/>
  <c r="B946" i="40"/>
  <c r="B947" i="40"/>
  <c r="B948" i="40"/>
  <c r="B949" i="40"/>
  <c r="B950" i="40"/>
  <c r="B951" i="40"/>
  <c r="B952" i="40"/>
  <c r="B953" i="40"/>
  <c r="B954" i="40"/>
  <c r="B75" i="42" s="1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C58" i="37" s="1"/>
  <c r="B978" i="40"/>
  <c r="B979" i="40"/>
  <c r="B329" i="40"/>
  <c r="B981" i="40"/>
  <c r="B7" i="57" s="1"/>
  <c r="B982" i="40"/>
  <c r="B8" i="57" s="1"/>
  <c r="B7" i="81"/>
  <c r="B7" i="78"/>
  <c r="B12" i="78" s="1"/>
  <c r="D36" i="78" s="1"/>
  <c r="B7" i="53"/>
  <c r="B8" i="53" s="1"/>
  <c r="B9" i="53" s="1"/>
  <c r="B7" i="51"/>
  <c r="A16" i="51"/>
  <c r="J54" i="51"/>
  <c r="A14" i="51"/>
  <c r="A16" i="55"/>
  <c r="A14" i="55"/>
  <c r="B7" i="55"/>
  <c r="B8" i="55" s="1"/>
  <c r="A14" i="7"/>
  <c r="B7" i="61"/>
  <c r="A13" i="61"/>
  <c r="B7" i="62"/>
  <c r="B8" i="62" s="1"/>
  <c r="A13" i="62"/>
  <c r="B7" i="58"/>
  <c r="A12" i="58"/>
  <c r="B7" i="47"/>
  <c r="B8" i="47" s="1"/>
  <c r="B9" i="47" s="1"/>
  <c r="D28" i="47" s="1"/>
  <c r="A11" i="47"/>
  <c r="A13" i="46"/>
  <c r="B7" i="46"/>
  <c r="A13" i="34"/>
  <c r="B7" i="34"/>
  <c r="B7" i="48"/>
  <c r="A11" i="48"/>
  <c r="B7" i="44"/>
  <c r="B8" i="44" s="1"/>
  <c r="B9" i="44" s="1"/>
  <c r="D30" i="44" s="1"/>
  <c r="A11" i="44"/>
  <c r="A11" i="33"/>
  <c r="B7" i="33"/>
  <c r="B7" i="70"/>
  <c r="B8" i="70" s="1"/>
  <c r="B9" i="70" s="1"/>
  <c r="D31" i="70" s="1"/>
  <c r="A11" i="70"/>
  <c r="A11" i="20"/>
  <c r="B7" i="20"/>
  <c r="B7" i="17"/>
  <c r="A13" i="17"/>
  <c r="A13" i="19"/>
  <c r="B7" i="19"/>
  <c r="B7" i="18"/>
  <c r="B12" i="18" s="1"/>
  <c r="A13" i="18"/>
  <c r="A13" i="8"/>
  <c r="B7" i="8"/>
  <c r="B7" i="56"/>
  <c r="B8" i="56" s="1"/>
  <c r="A13" i="74"/>
  <c r="B7" i="74"/>
  <c r="B7" i="37"/>
  <c r="A13" i="37"/>
  <c r="B7" i="7"/>
  <c r="A14" i="54"/>
  <c r="B7" i="54"/>
  <c r="B7" i="5"/>
  <c r="B12" i="5" s="1"/>
  <c r="D34" i="5" s="1"/>
  <c r="B7" i="6"/>
  <c r="A14" i="6"/>
  <c r="B7" i="71"/>
  <c r="A14" i="71"/>
  <c r="A14" i="31"/>
  <c r="B7" i="31"/>
  <c r="B12" i="31" s="1"/>
  <c r="D34" i="31" s="1"/>
  <c r="A14" i="30"/>
  <c r="B7" i="30"/>
  <c r="B8" i="30" s="1"/>
  <c r="B9" i="30" s="1"/>
  <c r="B7" i="4"/>
  <c r="A14" i="4"/>
  <c r="B7" i="3"/>
  <c r="A14" i="3"/>
  <c r="A13" i="72"/>
  <c r="B7" i="72"/>
  <c r="B6" i="72"/>
  <c r="N7" i="47"/>
  <c r="N8" i="47" s="1"/>
  <c r="O7" i="46"/>
  <c r="O8" i="46" s="1"/>
  <c r="O7" i="47"/>
  <c r="O7" i="34"/>
  <c r="O5" i="34"/>
  <c r="M5" i="34"/>
  <c r="O7" i="48"/>
  <c r="O5" i="48"/>
  <c r="M5" i="48"/>
  <c r="M6" i="48" s="1"/>
  <c r="O7" i="33"/>
  <c r="O5" i="33"/>
  <c r="M5" i="33"/>
  <c r="O7" i="44"/>
  <c r="O8" i="44" s="1"/>
  <c r="O5" i="44"/>
  <c r="M5" i="44"/>
  <c r="A12" i="1"/>
  <c r="G12" i="1" s="1"/>
  <c r="A13" i="1"/>
  <c r="A14" i="1"/>
  <c r="G14" i="1" s="1"/>
  <c r="A15" i="1"/>
  <c r="G15" i="1" s="1"/>
  <c r="A16" i="1"/>
  <c r="G16" i="1" s="1"/>
  <c r="A17" i="1"/>
  <c r="G17" i="1" s="1"/>
  <c r="A18" i="1"/>
  <c r="A19" i="1"/>
  <c r="A11" i="1"/>
  <c r="G11" i="1" s="1"/>
  <c r="A10" i="1"/>
  <c r="G10" i="1" s="1"/>
  <c r="A9" i="1"/>
  <c r="G9" i="1" s="1"/>
  <c r="A8" i="1"/>
  <c r="G8" i="1" s="1"/>
  <c r="A7" i="1"/>
  <c r="G7" i="1" s="1"/>
  <c r="A99" i="1"/>
  <c r="A94" i="1"/>
  <c r="J58" i="74"/>
  <c r="J57" i="74"/>
  <c r="J59" i="37"/>
  <c r="J58" i="37"/>
  <c r="J52" i="74"/>
  <c r="J51" i="74"/>
  <c r="J50" i="74"/>
  <c r="J49" i="74"/>
  <c r="J48" i="74"/>
  <c r="J47" i="74"/>
  <c r="J46" i="74"/>
  <c r="J45" i="74"/>
  <c r="J44" i="74"/>
  <c r="J43" i="74"/>
  <c r="J42" i="74"/>
  <c r="J41" i="74"/>
  <c r="J39" i="74"/>
  <c r="J48" i="37"/>
  <c r="J47" i="37"/>
  <c r="J46" i="37"/>
  <c r="J45" i="37"/>
  <c r="J44" i="37"/>
  <c r="J43" i="37"/>
  <c r="J42" i="37"/>
  <c r="J41" i="37"/>
  <c r="J40" i="37"/>
  <c r="J39" i="37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B25" i="81"/>
  <c r="G24" i="81"/>
  <c r="O10" i="81"/>
  <c r="L9" i="81"/>
  <c r="O7" i="81"/>
  <c r="K22" i="81" s="1"/>
  <c r="B8" i="81"/>
  <c r="B10" i="81" s="1"/>
  <c r="B11" i="81"/>
  <c r="D32" i="81" s="1"/>
  <c r="N4" i="81"/>
  <c r="N5" i="81" s="1"/>
  <c r="J52" i="80"/>
  <c r="J51" i="80"/>
  <c r="J50" i="80"/>
  <c r="J49" i="80"/>
  <c r="J48" i="80"/>
  <c r="J47" i="80"/>
  <c r="J46" i="80"/>
  <c r="J45" i="80"/>
  <c r="C8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B25" i="80"/>
  <c r="G24" i="80"/>
  <c r="O10" i="80"/>
  <c r="L9" i="80"/>
  <c r="O7" i="80"/>
  <c r="K22" i="80" s="1"/>
  <c r="N4" i="80"/>
  <c r="N5" i="80"/>
  <c r="C11" i="78"/>
  <c r="C7" i="53"/>
  <c r="C10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B9" i="81"/>
  <c r="J52" i="53"/>
  <c r="J51" i="53"/>
  <c r="J50" i="53"/>
  <c r="C982" i="40"/>
  <c r="D8" i="57" s="1"/>
  <c r="E8" i="57" s="1"/>
  <c r="F8" i="57" s="1"/>
  <c r="C981" i="40"/>
  <c r="D7" i="57" s="1"/>
  <c r="E7" i="57" s="1"/>
  <c r="F7" i="57" s="1"/>
  <c r="J55" i="61"/>
  <c r="J55" i="62"/>
  <c r="J50" i="46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N7" i="58"/>
  <c r="N8" i="58" s="1"/>
  <c r="N5" i="58" s="1"/>
  <c r="N4" i="58"/>
  <c r="D27" i="46"/>
  <c r="J27" i="46" s="1"/>
  <c r="J52" i="46"/>
  <c r="J51" i="46"/>
  <c r="J49" i="46"/>
  <c r="J48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41" i="47"/>
  <c r="D25" i="47"/>
  <c r="J25" i="47" s="1"/>
  <c r="B29" i="34"/>
  <c r="B27" i="48"/>
  <c r="B28" i="44"/>
  <c r="J49" i="47"/>
  <c r="J48" i="47"/>
  <c r="J47" i="47"/>
  <c r="J46" i="47"/>
  <c r="J45" i="47"/>
  <c r="J44" i="47"/>
  <c r="J43" i="47"/>
  <c r="J42" i="47"/>
  <c r="J40" i="47"/>
  <c r="J39" i="47"/>
  <c r="J38" i="47"/>
  <c r="J37" i="47"/>
  <c r="J36" i="47"/>
  <c r="J35" i="47"/>
  <c r="J34" i="47"/>
  <c r="J33" i="47"/>
  <c r="J32" i="47"/>
  <c r="J31" i="47"/>
  <c r="D29" i="34"/>
  <c r="J29" i="34" s="1"/>
  <c r="D28" i="34"/>
  <c r="J28" i="34" s="1"/>
  <c r="O8" i="34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F3" i="34"/>
  <c r="D27" i="44"/>
  <c r="J27" i="44" s="1"/>
  <c r="D26" i="48"/>
  <c r="J26" i="48" s="1"/>
  <c r="O8" i="48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F3" i="48"/>
  <c r="O6" i="44"/>
  <c r="M6" i="44"/>
  <c r="P7" i="44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F3" i="44"/>
  <c r="G23" i="33"/>
  <c r="K55" i="17"/>
  <c r="K55" i="19"/>
  <c r="K55" i="18"/>
  <c r="K55" i="56"/>
  <c r="B29" i="33"/>
  <c r="C7" i="70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A602" i="1"/>
  <c r="O6" i="33"/>
  <c r="F3" i="33"/>
  <c r="O8" i="33"/>
  <c r="P7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28" i="56"/>
  <c r="K28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29" i="56"/>
  <c r="K48" i="70"/>
  <c r="K49" i="70"/>
  <c r="K50" i="70"/>
  <c r="K51" i="70"/>
  <c r="K52" i="70"/>
  <c r="K53" i="70"/>
  <c r="K54" i="70"/>
  <c r="K55" i="70"/>
  <c r="K56" i="70"/>
  <c r="B29" i="70"/>
  <c r="O5" i="70"/>
  <c r="O6" i="70" s="1"/>
  <c r="M5" i="70"/>
  <c r="M6" i="70" s="1"/>
  <c r="F3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F3" i="20"/>
  <c r="D29" i="20"/>
  <c r="J29" i="20" s="1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A507" i="1"/>
  <c r="F507" i="1" s="1"/>
  <c r="A506" i="1"/>
  <c r="F506" i="1" s="1"/>
  <c r="A505" i="1"/>
  <c r="E505" i="1" s="1"/>
  <c r="A538" i="1"/>
  <c r="A535" i="1"/>
  <c r="F535" i="1" s="1"/>
  <c r="A534" i="1"/>
  <c r="A529" i="1"/>
  <c r="F529" i="1" s="1"/>
  <c r="A526" i="1"/>
  <c r="F526" i="1" s="1"/>
  <c r="A525" i="1"/>
  <c r="F525" i="1" s="1"/>
  <c r="A520" i="1"/>
  <c r="E520" i="1" s="1"/>
  <c r="A517" i="1"/>
  <c r="E517" i="1" s="1"/>
  <c r="A516" i="1"/>
  <c r="F516" i="1" s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A485" i="1"/>
  <c r="F485" i="1" s="1"/>
  <c r="A492" i="1"/>
  <c r="F492" i="1" s="1"/>
  <c r="A491" i="1"/>
  <c r="F491" i="1" s="1"/>
  <c r="A489" i="1"/>
  <c r="F489" i="1" s="1"/>
  <c r="A486" i="1"/>
  <c r="E486" i="1" s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B30" i="8"/>
  <c r="O5" i="17"/>
  <c r="O6" i="17" s="1"/>
  <c r="M5" i="17"/>
  <c r="M6" i="17" s="1"/>
  <c r="F3" i="17"/>
  <c r="K34" i="56"/>
  <c r="K41" i="56"/>
  <c r="K42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6" i="56"/>
  <c r="K57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F3" i="19"/>
  <c r="O5" i="19"/>
  <c r="O6" i="19" s="1"/>
  <c r="M5" i="19"/>
  <c r="M6" i="19" s="1"/>
  <c r="F3" i="18"/>
  <c r="O5" i="18"/>
  <c r="O6" i="18" s="1"/>
  <c r="M5" i="18"/>
  <c r="M6" i="18"/>
  <c r="A478" i="1"/>
  <c r="E478" i="1" s="1"/>
  <c r="A477" i="1"/>
  <c r="F477" i="1" s="1"/>
  <c r="A476" i="1"/>
  <c r="F476" i="1" s="1"/>
  <c r="N5" i="8"/>
  <c r="N6" i="8" s="1"/>
  <c r="L5" i="8"/>
  <c r="L6" i="8" s="1"/>
  <c r="F3" i="8"/>
  <c r="K36" i="56"/>
  <c r="K37" i="56"/>
  <c r="K38" i="56"/>
  <c r="K39" i="56"/>
  <c r="K40" i="56"/>
  <c r="D30" i="56"/>
  <c r="L22" i="56"/>
  <c r="L48" i="31"/>
  <c r="B29" i="56"/>
  <c r="N5" i="56"/>
  <c r="N6" i="56" s="1"/>
  <c r="L5" i="56"/>
  <c r="L6" i="56" s="1"/>
  <c r="O7" i="56"/>
  <c r="O8" i="56" s="1"/>
  <c r="P7" i="56"/>
  <c r="F3" i="56"/>
  <c r="J57" i="51"/>
  <c r="J56" i="51"/>
  <c r="J55" i="51"/>
  <c r="J53" i="51"/>
  <c r="J52" i="51"/>
  <c r="J51" i="51"/>
  <c r="J50" i="51"/>
  <c r="J49" i="51"/>
  <c r="J48" i="51"/>
  <c r="J47" i="51"/>
  <c r="J46" i="51"/>
  <c r="J55" i="55"/>
  <c r="J53" i="55"/>
  <c r="J52" i="55"/>
  <c r="J51" i="55"/>
  <c r="J50" i="55"/>
  <c r="J45" i="55"/>
  <c r="J44" i="55"/>
  <c r="J42" i="7"/>
  <c r="J54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 s="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F3" i="5"/>
  <c r="B32" i="6"/>
  <c r="D32" i="6"/>
  <c r="K32" i="6" s="1"/>
  <c r="K51" i="6"/>
  <c r="K52" i="6"/>
  <c r="K44" i="6"/>
  <c r="K45" i="6"/>
  <c r="K46" i="6"/>
  <c r="K47" i="6"/>
  <c r="F3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F3" i="71"/>
  <c r="B32" i="31"/>
  <c r="J56" i="31"/>
  <c r="K45" i="31"/>
  <c r="K46" i="31"/>
  <c r="K47" i="31"/>
  <c r="K48" i="31"/>
  <c r="A706" i="1"/>
  <c r="A705" i="1"/>
  <c r="A704" i="1"/>
  <c r="A703" i="1"/>
  <c r="A700" i="1"/>
  <c r="A699" i="1"/>
  <c r="A698" i="1"/>
  <c r="A697" i="1"/>
  <c r="K44" i="31"/>
  <c r="D32" i="31"/>
  <c r="F3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C329" i="40"/>
  <c r="J53" i="4"/>
  <c r="B32" i="30"/>
  <c r="D32" i="30"/>
  <c r="J32" i="30" s="1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B32" i="4"/>
  <c r="D32" i="4"/>
  <c r="A586" i="1"/>
  <c r="A587" i="1"/>
  <c r="F3" i="30"/>
  <c r="K5" i="30"/>
  <c r="B8" i="4"/>
  <c r="M4" i="4"/>
  <c r="M5" i="4" s="1"/>
  <c r="K4" i="4"/>
  <c r="K5" i="4" s="1"/>
  <c r="F3" i="4"/>
  <c r="K54" i="3"/>
  <c r="K44" i="3"/>
  <c r="K45" i="3"/>
  <c r="K46" i="3"/>
  <c r="K47" i="3"/>
  <c r="K48" i="3"/>
  <c r="K49" i="3"/>
  <c r="K50" i="3"/>
  <c r="K32" i="30"/>
  <c r="B32" i="3"/>
  <c r="C962" i="40"/>
  <c r="C963" i="40"/>
  <c r="C964" i="40"/>
  <c r="C965" i="40"/>
  <c r="C966" i="40"/>
  <c r="C967" i="40"/>
  <c r="C968" i="40"/>
  <c r="C969" i="40"/>
  <c r="C970" i="40"/>
  <c r="C971" i="40"/>
  <c r="C972" i="40"/>
  <c r="C973" i="40"/>
  <c r="C974" i="40"/>
  <c r="C975" i="40"/>
  <c r="C976" i="40"/>
  <c r="C977" i="40"/>
  <c r="E57" i="74" s="1"/>
  <c r="F57" i="74" s="1"/>
  <c r="G57" i="74" s="1"/>
  <c r="C978" i="40"/>
  <c r="C979" i="40"/>
  <c r="C946" i="40"/>
  <c r="C947" i="40"/>
  <c r="C948" i="40"/>
  <c r="C949" i="40"/>
  <c r="C950" i="40"/>
  <c r="C951" i="40"/>
  <c r="C952" i="40"/>
  <c r="C953" i="40"/>
  <c r="C954" i="40"/>
  <c r="D75" i="42" s="1"/>
  <c r="E75" i="42" s="1"/>
  <c r="F75" i="42" s="1"/>
  <c r="F81" i="42" s="1"/>
  <c r="C955" i="40"/>
  <c r="C956" i="40"/>
  <c r="C957" i="40"/>
  <c r="C958" i="40"/>
  <c r="C959" i="40"/>
  <c r="C960" i="40"/>
  <c r="C961" i="40"/>
  <c r="F3" i="3"/>
  <c r="M4" i="3"/>
  <c r="M5" i="3" s="1"/>
  <c r="K4" i="3"/>
  <c r="K5" i="3" s="1"/>
  <c r="B33" i="72"/>
  <c r="A119" i="1"/>
  <c r="A73" i="1"/>
  <c r="F73" i="1" s="1"/>
  <c r="A72" i="1"/>
  <c r="F72" i="1" s="1"/>
  <c r="A71" i="1"/>
  <c r="E71" i="1" s="1"/>
  <c r="A70" i="1"/>
  <c r="F70" i="1" s="1"/>
  <c r="A69" i="1"/>
  <c r="F69" i="1" s="1"/>
  <c r="A68" i="1"/>
  <c r="F68" i="1" s="1"/>
  <c r="A67" i="1"/>
  <c r="F67" i="1" s="1"/>
  <c r="A66" i="1"/>
  <c r="F66" i="1" s="1"/>
  <c r="A65" i="1"/>
  <c r="E65" i="1" s="1"/>
  <c r="A64" i="1"/>
  <c r="F64" i="1" s="1"/>
  <c r="A63" i="1"/>
  <c r="F63" i="1" s="1"/>
  <c r="A62" i="1"/>
  <c r="F62" i="1" s="1"/>
  <c r="A61" i="1"/>
  <c r="A60" i="1"/>
  <c r="F60" i="1" s="1"/>
  <c r="A59" i="1"/>
  <c r="G59" i="1" s="1"/>
  <c r="A58" i="1"/>
  <c r="F58" i="1" s="1"/>
  <c r="A57" i="1"/>
  <c r="E57" i="1" s="1"/>
  <c r="A56" i="1"/>
  <c r="F56" i="1" s="1"/>
  <c r="A55" i="1"/>
  <c r="A54" i="1"/>
  <c r="E54" i="1" s="1"/>
  <c r="A159" i="1"/>
  <c r="F159" i="1" s="1"/>
  <c r="A158" i="1"/>
  <c r="E158" i="1" s="1"/>
  <c r="A157" i="1"/>
  <c r="F157" i="1" s="1"/>
  <c r="A156" i="1"/>
  <c r="E156" i="1" s="1"/>
  <c r="A155" i="1"/>
  <c r="E155" i="1" s="1"/>
  <c r="A154" i="1"/>
  <c r="E154" i="1" s="1"/>
  <c r="A153" i="1"/>
  <c r="E153" i="1" s="1"/>
  <c r="A152" i="1"/>
  <c r="E152" i="1" s="1"/>
  <c r="A151" i="1"/>
  <c r="E151" i="1" s="1"/>
  <c r="A150" i="1"/>
  <c r="E150" i="1" s="1"/>
  <c r="A149" i="1"/>
  <c r="F149" i="1" s="1"/>
  <c r="A148" i="1"/>
  <c r="F148" i="1" s="1"/>
  <c r="A147" i="1"/>
  <c r="A146" i="1"/>
  <c r="F146" i="1" s="1"/>
  <c r="A145" i="1"/>
  <c r="F145" i="1" s="1"/>
  <c r="A144" i="1"/>
  <c r="A143" i="1"/>
  <c r="F143" i="1" s="1"/>
  <c r="A142" i="1"/>
  <c r="F142" i="1" s="1"/>
  <c r="A141" i="1"/>
  <c r="F141" i="1" s="1"/>
  <c r="A140" i="1"/>
  <c r="G140" i="1" s="1"/>
  <c r="A139" i="1"/>
  <c r="E139" i="1" s="1"/>
  <c r="A138" i="1"/>
  <c r="F138" i="1" s="1"/>
  <c r="A137" i="1"/>
  <c r="E137" i="1" s="1"/>
  <c r="A136" i="1"/>
  <c r="F136" i="1" s="1"/>
  <c r="A135" i="1"/>
  <c r="A134" i="1"/>
  <c r="F134" i="1" s="1"/>
  <c r="A133" i="1"/>
  <c r="E133" i="1" s="1"/>
  <c r="A132" i="1"/>
  <c r="E132" i="1" s="1"/>
  <c r="A131" i="1"/>
  <c r="F131" i="1" s="1"/>
  <c r="A130" i="1"/>
  <c r="E130" i="1" s="1"/>
  <c r="A128" i="1"/>
  <c r="E128" i="1" s="1"/>
  <c r="A129" i="1"/>
  <c r="F129" i="1" s="1"/>
  <c r="A127" i="1"/>
  <c r="E127" i="1" s="1"/>
  <c r="A126" i="1"/>
  <c r="A125" i="1"/>
  <c r="F125" i="1" s="1"/>
  <c r="A53" i="1"/>
  <c r="C592" i="40"/>
  <c r="A52" i="1"/>
  <c r="A51" i="1"/>
  <c r="A50" i="1"/>
  <c r="A49" i="1"/>
  <c r="A39" i="1"/>
  <c r="A40" i="1"/>
  <c r="A41" i="1"/>
  <c r="A42" i="1"/>
  <c r="A43" i="1"/>
  <c r="A44" i="1"/>
  <c r="A45" i="1"/>
  <c r="A46" i="1"/>
  <c r="A47" i="1"/>
  <c r="A48" i="1"/>
  <c r="N5" i="72"/>
  <c r="K4" i="72"/>
  <c r="K5" i="72" s="1"/>
  <c r="F3" i="72"/>
  <c r="K35" i="72"/>
  <c r="A709" i="1"/>
  <c r="A702" i="1"/>
  <c r="A695" i="1"/>
  <c r="A696" i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C945" i="40"/>
  <c r="C492" i="40"/>
  <c r="C493" i="40"/>
  <c r="B15" i="40"/>
  <c r="C15" i="40"/>
  <c r="B925" i="40"/>
  <c r="C925" i="40"/>
  <c r="B926" i="40"/>
  <c r="C926" i="40"/>
  <c r="B927" i="40"/>
  <c r="C927" i="40"/>
  <c r="B928" i="40"/>
  <c r="C928" i="40"/>
  <c r="B929" i="40"/>
  <c r="C929" i="40"/>
  <c r="B930" i="40"/>
  <c r="C930" i="40"/>
  <c r="B931" i="40"/>
  <c r="C931" i="40"/>
  <c r="B932" i="40"/>
  <c r="C932" i="40"/>
  <c r="B933" i="40"/>
  <c r="C933" i="40"/>
  <c r="B169" i="40"/>
  <c r="C169" i="40"/>
  <c r="B587" i="40"/>
  <c r="C587" i="40"/>
  <c r="B531" i="40"/>
  <c r="C531" i="40"/>
  <c r="B571" i="40"/>
  <c r="C571" i="40"/>
  <c r="B398" i="40"/>
  <c r="C398" i="40"/>
  <c r="B289" i="40"/>
  <c r="C289" i="40"/>
  <c r="B515" i="40"/>
  <c r="C515" i="40"/>
  <c r="B160" i="40"/>
  <c r="C160" i="40"/>
  <c r="B165" i="40"/>
  <c r="C165" i="40"/>
  <c r="B519" i="40"/>
  <c r="C519" i="40"/>
  <c r="B151" i="40"/>
  <c r="C151" i="40"/>
  <c r="B557" i="40"/>
  <c r="C557" i="40"/>
  <c r="B488" i="40"/>
  <c r="C488" i="40"/>
  <c r="B510" i="40"/>
  <c r="C510" i="40"/>
  <c r="D22" i="57" s="1"/>
  <c r="E22" i="57" s="1"/>
  <c r="B312" i="40"/>
  <c r="C312" i="40"/>
  <c r="D21" i="57" s="1"/>
  <c r="E21" i="57" s="1"/>
  <c r="B521" i="40"/>
  <c r="C521" i="40"/>
  <c r="B199" i="40"/>
  <c r="C199" i="40"/>
  <c r="B129" i="40"/>
  <c r="C129" i="40"/>
  <c r="B323" i="40"/>
  <c r="C323" i="40"/>
  <c r="B401" i="40"/>
  <c r="C401" i="40"/>
  <c r="B206" i="40"/>
  <c r="B20" i="57" s="1"/>
  <c r="C206" i="40"/>
  <c r="D20" i="57" s="1"/>
  <c r="E20" i="57" s="1"/>
  <c r="B130" i="40"/>
  <c r="C130" i="40"/>
  <c r="B80" i="40"/>
  <c r="C80" i="40"/>
  <c r="B635" i="40"/>
  <c r="C635" i="40"/>
  <c r="B661" i="40"/>
  <c r="C661" i="40"/>
  <c r="B643" i="40"/>
  <c r="C643" i="40"/>
  <c r="B648" i="40"/>
  <c r="C648" i="40"/>
  <c r="B642" i="40"/>
  <c r="C642" i="40"/>
  <c r="B619" i="40"/>
  <c r="C619" i="40"/>
  <c r="B609" i="40"/>
  <c r="C609" i="40"/>
  <c r="B516" i="40"/>
  <c r="C516" i="40"/>
  <c r="B665" i="40"/>
  <c r="C665" i="40"/>
  <c r="B652" i="40"/>
  <c r="C652" i="40"/>
  <c r="B660" i="40"/>
  <c r="C660" i="40"/>
  <c r="B646" i="40"/>
  <c r="C646" i="40"/>
  <c r="B644" i="40"/>
  <c r="C644" i="40"/>
  <c r="B626" i="40"/>
  <c r="C626" i="40"/>
  <c r="B553" i="40"/>
  <c r="C553" i="40"/>
  <c r="B629" i="40"/>
  <c r="C629" i="40"/>
  <c r="B568" i="40"/>
  <c r="C568" i="40"/>
  <c r="B673" i="40"/>
  <c r="C673" i="40"/>
  <c r="B668" i="40"/>
  <c r="C668" i="40"/>
  <c r="B657" i="40"/>
  <c r="C657" i="40"/>
  <c r="B616" i="40"/>
  <c r="C616" i="40"/>
  <c r="B576" i="40"/>
  <c r="C576" i="40"/>
  <c r="B487" i="40"/>
  <c r="C487" i="40"/>
  <c r="B456" i="40"/>
  <c r="C456" i="40"/>
  <c r="B411" i="40"/>
  <c r="C411" i="40"/>
  <c r="B350" i="40"/>
  <c r="C350" i="40"/>
  <c r="B588" i="40"/>
  <c r="C588" i="40"/>
  <c r="B582" i="40"/>
  <c r="C582" i="40"/>
  <c r="B536" i="40"/>
  <c r="C536" i="40"/>
  <c r="C560" i="40"/>
  <c r="C573" i="40"/>
  <c r="C934" i="40"/>
  <c r="C426" i="40"/>
  <c r="C294" i="40"/>
  <c r="C322" i="40"/>
  <c r="C19" i="40"/>
  <c r="C64" i="40"/>
  <c r="C81" i="40"/>
  <c r="C590" i="40"/>
  <c r="C517" i="40"/>
  <c r="C530" i="40"/>
  <c r="C577" i="40"/>
  <c r="C935" i="40"/>
  <c r="C936" i="40"/>
  <c r="C937" i="40"/>
  <c r="C938" i="40"/>
  <c r="C939" i="40"/>
  <c r="C940" i="40"/>
  <c r="C941" i="40"/>
  <c r="C942" i="40"/>
  <c r="C943" i="40"/>
  <c r="C944" i="40"/>
  <c r="C371" i="40"/>
  <c r="C349" i="40"/>
  <c r="C223" i="40"/>
  <c r="C300" i="40"/>
  <c r="D19" i="57" s="1"/>
  <c r="E19" i="57" s="1"/>
  <c r="C197" i="40"/>
  <c r="D18" i="57" s="1"/>
  <c r="E18" i="57" s="1"/>
  <c r="C653" i="40"/>
  <c r="C437" i="40"/>
  <c r="C649" i="40"/>
  <c r="C623" i="40"/>
  <c r="C593" i="40"/>
  <c r="C909" i="40"/>
  <c r="C637" i="40"/>
  <c r="C564" i="40"/>
  <c r="C607" i="40"/>
  <c r="C154" i="40"/>
  <c r="C461" i="40"/>
  <c r="C599" i="40"/>
  <c r="C639" i="40"/>
  <c r="C583" i="40"/>
  <c r="C602" i="40"/>
  <c r="C528" i="40"/>
  <c r="C400" i="40"/>
  <c r="C663" i="40"/>
  <c r="C469" i="40"/>
  <c r="C43" i="40"/>
  <c r="C641" i="40"/>
  <c r="C446" i="40"/>
  <c r="C281" i="40"/>
  <c r="C910" i="40"/>
  <c r="C638" i="40"/>
  <c r="C580" i="40"/>
  <c r="C562" i="40"/>
  <c r="C667" i="40"/>
  <c r="C451" i="40"/>
  <c r="C600" i="40"/>
  <c r="C449" i="40"/>
  <c r="C198" i="40"/>
  <c r="C664" i="40"/>
  <c r="C911" i="40"/>
  <c r="C912" i="40"/>
  <c r="C666" i="40"/>
  <c r="C618" i="40"/>
  <c r="C23" i="40"/>
  <c r="C24" i="40"/>
  <c r="C913" i="40"/>
  <c r="E44" i="47" s="1"/>
  <c r="F44" i="47" s="1"/>
  <c r="C914" i="40"/>
  <c r="E43" i="47" s="1"/>
  <c r="F43" i="47" s="1"/>
  <c r="C915" i="40"/>
  <c r="E44" i="46" s="1"/>
  <c r="F44" i="46" s="1"/>
  <c r="G44" i="46" s="1"/>
  <c r="C916" i="40"/>
  <c r="E41" i="47" s="1"/>
  <c r="F41" i="47" s="1"/>
  <c r="C917" i="40"/>
  <c r="C918" i="40"/>
  <c r="C919" i="40"/>
  <c r="C920" i="40"/>
  <c r="C472" i="40"/>
  <c r="C497" i="40"/>
  <c r="C921" i="40"/>
  <c r="C922" i="40"/>
  <c r="C923" i="40"/>
  <c r="C286" i="40"/>
  <c r="E29" i="48" s="1"/>
  <c r="C924" i="40"/>
  <c r="E28" i="47" s="1"/>
  <c r="B653" i="40"/>
  <c r="B437" i="40"/>
  <c r="B649" i="40"/>
  <c r="B623" i="40"/>
  <c r="B593" i="40"/>
  <c r="B909" i="40"/>
  <c r="B637" i="40"/>
  <c r="B564" i="40"/>
  <c r="B607" i="40"/>
  <c r="B154" i="40"/>
  <c r="B461" i="40"/>
  <c r="B599" i="40"/>
  <c r="B639" i="40"/>
  <c r="B583" i="40"/>
  <c r="B602" i="40"/>
  <c r="B528" i="40"/>
  <c r="B400" i="40"/>
  <c r="B663" i="40"/>
  <c r="B469" i="40"/>
  <c r="B43" i="40"/>
  <c r="B641" i="40"/>
  <c r="B446" i="40"/>
  <c r="B281" i="40"/>
  <c r="B910" i="40"/>
  <c r="B638" i="40"/>
  <c r="B580" i="40"/>
  <c r="B562" i="40"/>
  <c r="B667" i="40"/>
  <c r="B451" i="40"/>
  <c r="B600" i="40"/>
  <c r="B449" i="40"/>
  <c r="B198" i="40"/>
  <c r="B664" i="40"/>
  <c r="B911" i="40"/>
  <c r="B912" i="40"/>
  <c r="B666" i="40"/>
  <c r="B618" i="40"/>
  <c r="B23" i="40"/>
  <c r="B24" i="40"/>
  <c r="B913" i="40"/>
  <c r="B914" i="40"/>
  <c r="B915" i="40"/>
  <c r="B916" i="40"/>
  <c r="B917" i="40"/>
  <c r="B918" i="40"/>
  <c r="B919" i="40"/>
  <c r="B920" i="40"/>
  <c r="B472" i="40"/>
  <c r="B497" i="40"/>
  <c r="B921" i="40"/>
  <c r="B922" i="40"/>
  <c r="B923" i="40"/>
  <c r="B286" i="40"/>
  <c r="B924" i="40"/>
  <c r="A572" i="1"/>
  <c r="F572" i="1" s="1"/>
  <c r="A400" i="1"/>
  <c r="G400" i="1" s="1"/>
  <c r="A402" i="1"/>
  <c r="E402" i="1" s="1"/>
  <c r="A114" i="1"/>
  <c r="A113" i="1"/>
  <c r="A112" i="1"/>
  <c r="A111" i="1"/>
  <c r="A110" i="1"/>
  <c r="A109" i="1"/>
  <c r="A108" i="1"/>
  <c r="A107" i="1"/>
  <c r="A106" i="1"/>
  <c r="A105" i="1"/>
  <c r="A100" i="1"/>
  <c r="A101" i="1"/>
  <c r="A102" i="1"/>
  <c r="A103" i="1"/>
  <c r="A104" i="1"/>
  <c r="A118" i="1"/>
  <c r="A120" i="1"/>
  <c r="A121" i="1"/>
  <c r="A122" i="1"/>
  <c r="A123" i="1"/>
  <c r="A124" i="1"/>
  <c r="B656" i="40"/>
  <c r="C656" i="40"/>
  <c r="B670" i="40"/>
  <c r="C670" i="40"/>
  <c r="B671" i="40"/>
  <c r="C671" i="40"/>
  <c r="B404" i="40"/>
  <c r="C404" i="40"/>
  <c r="B6" i="40"/>
  <c r="C6" i="40"/>
  <c r="B5" i="40"/>
  <c r="C37" i="53" s="1"/>
  <c r="C5" i="40"/>
  <c r="E49" i="78" s="1"/>
  <c r="F49" i="78" s="1"/>
  <c r="B18" i="40"/>
  <c r="C18" i="40"/>
  <c r="B900" i="40"/>
  <c r="C900" i="40"/>
  <c r="B901" i="40"/>
  <c r="C901" i="40"/>
  <c r="B17" i="40"/>
  <c r="C17" i="40"/>
  <c r="B902" i="40"/>
  <c r="C902" i="40"/>
  <c r="B31" i="40"/>
  <c r="C57" i="37" s="1"/>
  <c r="C31" i="40"/>
  <c r="E57" i="37" s="1"/>
  <c r="F57" i="37" s="1"/>
  <c r="B28" i="40"/>
  <c r="C28" i="40"/>
  <c r="B29" i="40"/>
  <c r="C29" i="40"/>
  <c r="B611" i="40"/>
  <c r="C611" i="40"/>
  <c r="B612" i="40"/>
  <c r="C612" i="40"/>
  <c r="B317" i="40"/>
  <c r="C317" i="40"/>
  <c r="B318" i="40"/>
  <c r="C318" i="40"/>
  <c r="B319" i="40"/>
  <c r="C319" i="40"/>
  <c r="B320" i="40"/>
  <c r="C320" i="40"/>
  <c r="B452" i="40"/>
  <c r="C452" i="40"/>
  <c r="B453" i="40"/>
  <c r="C453" i="40"/>
  <c r="B454" i="40"/>
  <c r="C454" i="40"/>
  <c r="B204" i="40"/>
  <c r="C204" i="40"/>
  <c r="B903" i="40"/>
  <c r="C903" i="40"/>
  <c r="B475" i="40"/>
  <c r="C50" i="55" s="1"/>
  <c r="C475" i="40"/>
  <c r="B476" i="40"/>
  <c r="C53" i="51" s="1"/>
  <c r="C476" i="40"/>
  <c r="B632" i="40"/>
  <c r="C632" i="40"/>
  <c r="B636" i="40"/>
  <c r="C636" i="40"/>
  <c r="B561" i="40"/>
  <c r="C561" i="40"/>
  <c r="B650" i="40"/>
  <c r="C650" i="40"/>
  <c r="B579" i="40"/>
  <c r="C579" i="40"/>
  <c r="B658" i="40"/>
  <c r="C658" i="40"/>
  <c r="B904" i="40"/>
  <c r="C904" i="40"/>
  <c r="B905" i="40"/>
  <c r="C905" i="40"/>
  <c r="B66" i="40"/>
  <c r="C66" i="40"/>
  <c r="B108" i="40"/>
  <c r="C108" i="40"/>
  <c r="B36" i="40"/>
  <c r="C36" i="40"/>
  <c r="B27" i="40"/>
  <c r="C27" i="40"/>
  <c r="B34" i="40"/>
  <c r="C34" i="40"/>
  <c r="B55" i="40"/>
  <c r="C55" i="40"/>
  <c r="B39" i="40"/>
  <c r="C39" i="40"/>
  <c r="B56" i="40"/>
  <c r="C56" i="40"/>
  <c r="B87" i="40"/>
  <c r="C87" i="40"/>
  <c r="B57" i="40"/>
  <c r="C57" i="40"/>
  <c r="B88" i="40"/>
  <c r="C88" i="40"/>
  <c r="B42" i="40"/>
  <c r="C42" i="40"/>
  <c r="B67" i="40"/>
  <c r="C67" i="40"/>
  <c r="B906" i="40"/>
  <c r="C906" i="40"/>
  <c r="B97" i="40"/>
  <c r="C97" i="40"/>
  <c r="B234" i="40"/>
  <c r="C234" i="40"/>
  <c r="B311" i="40"/>
  <c r="C311" i="40"/>
  <c r="B282" i="40"/>
  <c r="C282" i="40"/>
  <c r="B235" i="40"/>
  <c r="C235" i="40"/>
  <c r="B387" i="40"/>
  <c r="C387" i="40"/>
  <c r="B357" i="40"/>
  <c r="C357" i="40"/>
  <c r="B62" i="40"/>
  <c r="C62" i="40"/>
  <c r="B70" i="40"/>
  <c r="C70" i="40"/>
  <c r="B112" i="40"/>
  <c r="C112" i="40"/>
  <c r="B113" i="40"/>
  <c r="C113" i="40"/>
  <c r="B195" i="40"/>
  <c r="C195" i="40"/>
  <c r="B181" i="40"/>
  <c r="C181" i="40"/>
  <c r="B45" i="40"/>
  <c r="C45" i="40"/>
  <c r="B71" i="40"/>
  <c r="C71" i="40"/>
  <c r="B51" i="40"/>
  <c r="C51" i="40"/>
  <c r="B89" i="40"/>
  <c r="C89" i="40"/>
  <c r="B119" i="40"/>
  <c r="C119" i="40"/>
  <c r="B90" i="40"/>
  <c r="C90" i="40"/>
  <c r="B79" i="40"/>
  <c r="C79" i="40"/>
  <c r="B123" i="40"/>
  <c r="C123" i="40"/>
  <c r="B196" i="40"/>
  <c r="C196" i="40"/>
  <c r="B124" i="40"/>
  <c r="C124" i="40"/>
  <c r="B287" i="40"/>
  <c r="C287" i="40"/>
  <c r="B8" i="40"/>
  <c r="C8" i="40"/>
  <c r="B498" i="40"/>
  <c r="C498" i="40"/>
  <c r="B490" i="40"/>
  <c r="C490" i="40"/>
  <c r="B907" i="40"/>
  <c r="C907" i="40"/>
  <c r="B369" i="40"/>
  <c r="C369" i="40"/>
  <c r="B410" i="40"/>
  <c r="C410" i="40"/>
  <c r="B390" i="40"/>
  <c r="C390" i="40"/>
  <c r="B296" i="40"/>
  <c r="C296" i="40"/>
  <c r="B236" i="40"/>
  <c r="C236" i="40"/>
  <c r="B299" i="40"/>
  <c r="C299" i="40"/>
  <c r="E61" i="78" s="1"/>
  <c r="F61" i="78" s="1"/>
  <c r="B284" i="40"/>
  <c r="C284" i="40"/>
  <c r="B459" i="40"/>
  <c r="C459" i="40"/>
  <c r="B440" i="40"/>
  <c r="C440" i="40"/>
  <c r="B405" i="40"/>
  <c r="C405" i="40"/>
  <c r="B380" i="40"/>
  <c r="C380" i="40"/>
  <c r="B393" i="40"/>
  <c r="C393" i="40"/>
  <c r="B460" i="40"/>
  <c r="C460" i="40"/>
  <c r="B3" i="40"/>
  <c r="C3" i="40"/>
  <c r="B908" i="40"/>
  <c r="B76" i="57" s="1"/>
  <c r="C908" i="40"/>
  <c r="D76" i="57" s="1"/>
  <c r="B388" i="40"/>
  <c r="C388" i="40"/>
  <c r="B358" i="40"/>
  <c r="C358" i="40"/>
  <c r="B542" i="40"/>
  <c r="C54" i="71" s="1"/>
  <c r="C542" i="40"/>
  <c r="E54" i="71" s="1"/>
  <c r="F54" i="71" s="1"/>
  <c r="B20" i="40"/>
  <c r="C32" i="55" s="1"/>
  <c r="C20" i="40"/>
  <c r="E32" i="55" s="1"/>
  <c r="C7" i="7"/>
  <c r="C8" i="7" s="1"/>
  <c r="A453" i="1"/>
  <c r="A452" i="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B29" i="78"/>
  <c r="G28" i="78"/>
  <c r="O10" i="78"/>
  <c r="L9" i="78"/>
  <c r="O7" i="78"/>
  <c r="K26" i="78"/>
  <c r="N4" i="78"/>
  <c r="N5" i="78" s="1"/>
  <c r="K28" i="78"/>
  <c r="K27" i="78"/>
  <c r="C415" i="40"/>
  <c r="B415" i="40"/>
  <c r="C899" i="40"/>
  <c r="B899" i="40"/>
  <c r="C428" i="40"/>
  <c r="B428" i="40"/>
  <c r="C539" i="40"/>
  <c r="B539" i="40"/>
  <c r="C513" i="40"/>
  <c r="B513" i="40"/>
  <c r="B723" i="40"/>
  <c r="C723" i="40"/>
  <c r="C720" i="40"/>
  <c r="B720" i="40"/>
  <c r="B4" i="40"/>
  <c r="C43" i="18" s="1"/>
  <c r="C4" i="40"/>
  <c r="B120" i="40"/>
  <c r="C120" i="40"/>
  <c r="D33" i="71"/>
  <c r="B678" i="40"/>
  <c r="B44" i="57" s="1"/>
  <c r="B679" i="40"/>
  <c r="B45" i="57" s="1"/>
  <c r="B680" i="40"/>
  <c r="B46" i="57" s="1"/>
  <c r="B681" i="40"/>
  <c r="B47" i="57" s="1"/>
  <c r="B682" i="40"/>
  <c r="B683" i="40"/>
  <c r="B684" i="40"/>
  <c r="B685" i="40"/>
  <c r="B686" i="40"/>
  <c r="B16" i="40"/>
  <c r="B13" i="40"/>
  <c r="B687" i="40"/>
  <c r="B76" i="40"/>
  <c r="C26" i="47" s="1"/>
  <c r="B688" i="40"/>
  <c r="B403" i="40"/>
  <c r="B326" i="40"/>
  <c r="B297" i="40"/>
  <c r="B333" i="40"/>
  <c r="B115" i="40"/>
  <c r="B149" i="40"/>
  <c r="B122" i="40"/>
  <c r="B605" i="40"/>
  <c r="B662" i="40"/>
  <c r="B293" i="40"/>
  <c r="B270" i="40"/>
  <c r="B420" i="40"/>
  <c r="B399" i="40"/>
  <c r="B378" i="40"/>
  <c r="B352" i="40"/>
  <c r="B489" i="40"/>
  <c r="B458" i="40"/>
  <c r="B558" i="40"/>
  <c r="B532" i="40"/>
  <c r="B610" i="40"/>
  <c r="B604" i="40"/>
  <c r="B83" i="40"/>
  <c r="B68" i="40"/>
  <c r="B167" i="40"/>
  <c r="B142" i="40"/>
  <c r="B121" i="40"/>
  <c r="B109" i="40"/>
  <c r="B207" i="40"/>
  <c r="B187" i="40"/>
  <c r="B304" i="40"/>
  <c r="B277" i="40"/>
  <c r="B413" i="40"/>
  <c r="B391" i="40"/>
  <c r="B118" i="40"/>
  <c r="B110" i="40"/>
  <c r="B226" i="40"/>
  <c r="B203" i="40"/>
  <c r="B185" i="40"/>
  <c r="B163" i="40"/>
  <c r="B305" i="40"/>
  <c r="B275" i="40"/>
  <c r="B381" i="40"/>
  <c r="B354" i="40"/>
  <c r="B483" i="40"/>
  <c r="B468" i="40"/>
  <c r="B14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484" i="40"/>
  <c r="B447" i="40"/>
  <c r="B465" i="40"/>
  <c r="B485" i="40"/>
  <c r="B538" i="40"/>
  <c r="B525" i="40"/>
  <c r="B597" i="40"/>
  <c r="B589" i="40"/>
  <c r="B628" i="40"/>
  <c r="B622" i="40"/>
  <c r="B655" i="40"/>
  <c r="B647" i="40"/>
  <c r="B669" i="40"/>
  <c r="B672" i="40"/>
  <c r="B138" i="40"/>
  <c r="B324" i="40"/>
  <c r="B325" i="40"/>
  <c r="B473" i="40"/>
  <c r="B551" i="40"/>
  <c r="B75" i="40"/>
  <c r="B701" i="40"/>
  <c r="B702" i="40"/>
  <c r="B703" i="40"/>
  <c r="C56" i="33" s="1"/>
  <c r="B704" i="40"/>
  <c r="C29" i="46" s="1"/>
  <c r="B9" i="40"/>
  <c r="B705" i="40"/>
  <c r="B706" i="40"/>
  <c r="C33" i="85" s="1"/>
  <c r="B707" i="40"/>
  <c r="B708" i="40"/>
  <c r="C30" i="17" s="1"/>
  <c r="B709" i="40"/>
  <c r="B710" i="40"/>
  <c r="B711" i="40"/>
  <c r="C54" i="53" s="1"/>
  <c r="B712" i="40"/>
  <c r="B94" i="40"/>
  <c r="B86" i="40"/>
  <c r="B139" i="40"/>
  <c r="B132" i="40"/>
  <c r="B202" i="40"/>
  <c r="B192" i="40"/>
  <c r="B303" i="40"/>
  <c r="B269" i="40"/>
  <c r="B406" i="40"/>
  <c r="B379" i="40"/>
  <c r="B348" i="40"/>
  <c r="B341" i="40"/>
  <c r="B435" i="40"/>
  <c r="B419" i="40"/>
  <c r="B502" i="40"/>
  <c r="B494" i="40"/>
  <c r="B569" i="40"/>
  <c r="B554" i="40"/>
  <c r="B570" i="40"/>
  <c r="B625" i="40"/>
  <c r="B614" i="40"/>
  <c r="B543" i="40"/>
  <c r="B713" i="40"/>
  <c r="B714" i="40"/>
  <c r="B715" i="40"/>
  <c r="B716" i="40"/>
  <c r="B717" i="40"/>
  <c r="B718" i="40"/>
  <c r="B719" i="40"/>
  <c r="B721" i="40"/>
  <c r="B313" i="40"/>
  <c r="B722" i="40"/>
  <c r="B724" i="40"/>
  <c r="B309" i="40"/>
  <c r="B725" i="40"/>
  <c r="B726" i="40"/>
  <c r="B727" i="40"/>
  <c r="B375" i="40"/>
  <c r="B728" i="40"/>
  <c r="B729" i="40"/>
  <c r="B730" i="40"/>
  <c r="B370" i="40"/>
  <c r="B731" i="40"/>
  <c r="B732" i="40"/>
  <c r="B457" i="40"/>
  <c r="B733" i="40"/>
  <c r="B734" i="40"/>
  <c r="B735" i="40"/>
  <c r="B448" i="40"/>
  <c r="B578" i="40"/>
  <c r="B736" i="40"/>
  <c r="B559" i="40"/>
  <c r="B737" i="40"/>
  <c r="B738" i="40"/>
  <c r="B739" i="40"/>
  <c r="B549" i="40"/>
  <c r="B314" i="40"/>
  <c r="B288" i="40"/>
  <c r="B155" i="40"/>
  <c r="B189" i="40"/>
  <c r="B156" i="40"/>
  <c r="F662" i="1" s="1"/>
  <c r="B645" i="40"/>
  <c r="B511" i="40"/>
  <c r="B509" i="40"/>
  <c r="B467" i="40"/>
  <c r="B159" i="40"/>
  <c r="B217" i="40"/>
  <c r="B179" i="40"/>
  <c r="B231" i="40"/>
  <c r="B193" i="40"/>
  <c r="B218" i="40"/>
  <c r="B740" i="40"/>
  <c r="B209" i="40"/>
  <c r="B741" i="40"/>
  <c r="B742" i="40"/>
  <c r="B395" i="40"/>
  <c r="B382" i="40"/>
  <c r="B743" i="40"/>
  <c r="B744" i="40"/>
  <c r="B205" i="40"/>
  <c r="B225" i="40"/>
  <c r="B745" i="40"/>
  <c r="B73" i="40"/>
  <c r="B74" i="40"/>
  <c r="B135" i="40"/>
  <c r="B136" i="40"/>
  <c r="B279" i="40"/>
  <c r="B280" i="40"/>
  <c r="B21" i="40"/>
  <c r="B131" i="40"/>
  <c r="B102" i="40"/>
  <c r="B84" i="40"/>
  <c r="B746" i="40"/>
  <c r="B111" i="40"/>
  <c r="B747" i="40"/>
  <c r="C27" i="18" s="1"/>
  <c r="B157" i="40"/>
  <c r="B116" i="40"/>
  <c r="B748" i="40"/>
  <c r="B166" i="40"/>
  <c r="B125" i="40"/>
  <c r="B158" i="40"/>
  <c r="B237" i="40"/>
  <c r="B238" i="40"/>
  <c r="B239" i="40"/>
  <c r="B361" i="40"/>
  <c r="B240" i="40"/>
  <c r="B241" i="40"/>
  <c r="B242" i="40"/>
  <c r="B243" i="40"/>
  <c r="B244" i="40"/>
  <c r="B245" i="40"/>
  <c r="B362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749" i="40"/>
  <c r="B750" i="40"/>
  <c r="B373" i="40"/>
  <c r="B751" i="40"/>
  <c r="B478" i="40"/>
  <c r="B351" i="40"/>
  <c r="B374" i="40"/>
  <c r="B140" i="40"/>
  <c r="C31" i="7" s="1"/>
  <c r="B534" i="40"/>
  <c r="B548" i="40"/>
  <c r="B585" i="40"/>
  <c r="B595" i="40"/>
  <c r="B752" i="40"/>
  <c r="B753" i="40"/>
  <c r="B355" i="40"/>
  <c r="B754" i="40"/>
  <c r="B755" i="40"/>
  <c r="B307" i="40"/>
  <c r="B345" i="40"/>
  <c r="B756" i="40"/>
  <c r="B757" i="40"/>
  <c r="B438" i="40"/>
  <c r="B758" i="40"/>
  <c r="B759" i="40"/>
  <c r="B392" i="40"/>
  <c r="B439" i="40"/>
  <c r="B760" i="40"/>
  <c r="B761" i="40"/>
  <c r="B507" i="40"/>
  <c r="B762" i="40"/>
  <c r="B763" i="40"/>
  <c r="B455" i="40"/>
  <c r="B508" i="40"/>
  <c r="B764" i="40"/>
  <c r="B765" i="40"/>
  <c r="B574" i="40"/>
  <c r="B766" i="40"/>
  <c r="B767" i="40"/>
  <c r="B535" i="40"/>
  <c r="B575" i="40"/>
  <c r="B768" i="40"/>
  <c r="B769" i="40"/>
  <c r="B631" i="40"/>
  <c r="F190" i="1" s="1"/>
  <c r="B770" i="40"/>
  <c r="B771" i="40"/>
  <c r="B603" i="40"/>
  <c r="F180" i="1" s="1"/>
  <c r="B624" i="40"/>
  <c r="B273" i="40"/>
  <c r="B220" i="40"/>
  <c r="B174" i="40"/>
  <c r="B363" i="40"/>
  <c r="B331" i="40"/>
  <c r="B276" i="40"/>
  <c r="B429" i="40"/>
  <c r="B394" i="40"/>
  <c r="B346" i="40"/>
  <c r="B512" i="40"/>
  <c r="B474" i="40"/>
  <c r="B423" i="40"/>
  <c r="B591" i="40"/>
  <c r="B566" i="40"/>
  <c r="B526" i="40"/>
  <c r="B427" i="40"/>
  <c r="B772" i="40"/>
  <c r="B414" i="40"/>
  <c r="B773" i="40"/>
  <c r="B774" i="40"/>
  <c r="B775" i="40"/>
  <c r="B776" i="40"/>
  <c r="B777" i="40"/>
  <c r="B778" i="40"/>
  <c r="B141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106" i="40"/>
  <c r="B794" i="40"/>
  <c r="B200" i="40"/>
  <c r="B795" i="40"/>
  <c r="B161" i="40"/>
  <c r="B796" i="40"/>
  <c r="B797" i="40"/>
  <c r="B798" i="40"/>
  <c r="B799" i="40"/>
  <c r="B800" i="40"/>
  <c r="B801" i="40"/>
  <c r="B802" i="40"/>
  <c r="B803" i="40"/>
  <c r="B804" i="40"/>
  <c r="B805" i="40"/>
  <c r="B806" i="40"/>
  <c r="B40" i="40"/>
  <c r="C33" i="55" s="1"/>
  <c r="B807" i="40"/>
  <c r="C34" i="51" s="1"/>
  <c r="B41" i="40"/>
  <c r="C29" i="80" s="1"/>
  <c r="B35" i="40"/>
  <c r="B808" i="40"/>
  <c r="B809" i="40"/>
  <c r="B810" i="40"/>
  <c r="B811" i="40"/>
  <c r="B812" i="40"/>
  <c r="B25" i="40"/>
  <c r="B22" i="40"/>
  <c r="B343" i="40"/>
  <c r="B442" i="40"/>
  <c r="B606" i="40"/>
  <c r="B633" i="40"/>
  <c r="B433" i="40"/>
  <c r="B407" i="40"/>
  <c r="B384" i="40"/>
  <c r="B396" i="40"/>
  <c r="B486" i="40"/>
  <c r="B470" i="40"/>
  <c r="E428" i="1" s="1"/>
  <c r="B210" i="40"/>
  <c r="B105" i="40"/>
  <c r="B266" i="40"/>
  <c r="B228" i="40"/>
  <c r="B306" i="40"/>
  <c r="B278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46" i="40"/>
  <c r="B59" i="40"/>
  <c r="B829" i="40"/>
  <c r="B60" i="40"/>
  <c r="B61" i="40"/>
  <c r="B830" i="40"/>
  <c r="B831" i="40"/>
  <c r="B78" i="40"/>
  <c r="B103" i="40"/>
  <c r="B832" i="40"/>
  <c r="B104" i="40"/>
  <c r="B98" i="40"/>
  <c r="E106" i="1" s="1"/>
  <c r="B833" i="40"/>
  <c r="B834" i="40"/>
  <c r="B117" i="40"/>
  <c r="B146" i="40"/>
  <c r="B835" i="40"/>
  <c r="B147" i="40"/>
  <c r="B148" i="40"/>
  <c r="B836" i="40"/>
  <c r="B837" i="40"/>
  <c r="B176" i="40"/>
  <c r="B221" i="40"/>
  <c r="B838" i="40"/>
  <c r="B222" i="40"/>
  <c r="B208" i="40"/>
  <c r="B839" i="40"/>
  <c r="B840" i="40"/>
  <c r="B283" i="40"/>
  <c r="B334" i="40"/>
  <c r="B841" i="40"/>
  <c r="B335" i="40"/>
  <c r="B336" i="40"/>
  <c r="B842" i="40"/>
  <c r="B843" i="40"/>
  <c r="B844" i="40"/>
  <c r="B188" i="40"/>
  <c r="C31" i="54" s="1"/>
  <c r="B523" i="40"/>
  <c r="B501" i="40"/>
  <c r="B552" i="40"/>
  <c r="B541" i="40"/>
  <c r="B177" i="40"/>
  <c r="C30" i="37" s="1"/>
  <c r="B164" i="40"/>
  <c r="B178" i="40"/>
  <c r="B432" i="40"/>
  <c r="B555" i="40"/>
  <c r="B529" i="40"/>
  <c r="B613" i="40"/>
  <c r="B596" i="40"/>
  <c r="B634" i="40"/>
  <c r="B621" i="40"/>
  <c r="B651" i="40"/>
  <c r="B91" i="40"/>
  <c r="B173" i="40"/>
  <c r="B150" i="40"/>
  <c r="B291" i="40"/>
  <c r="B233" i="40"/>
  <c r="B337" i="40"/>
  <c r="B310" i="40"/>
  <c r="B389" i="40"/>
  <c r="B274" i="40"/>
  <c r="B402" i="40"/>
  <c r="B376" i="40"/>
  <c r="B506" i="40"/>
  <c r="B471" i="40"/>
  <c r="B547" i="40"/>
  <c r="B520" i="40"/>
  <c r="B584" i="40"/>
  <c r="B556" i="40"/>
  <c r="C64" i="37" s="1"/>
  <c r="B608" i="40"/>
  <c r="C67" i="37" s="1"/>
  <c r="B674" i="40"/>
  <c r="C63" i="37" s="1"/>
  <c r="B676" i="40"/>
  <c r="C66" i="37" s="1"/>
  <c r="B441" i="40"/>
  <c r="B563" i="40"/>
  <c r="B546" i="40"/>
  <c r="B620" i="40"/>
  <c r="B601" i="40"/>
  <c r="B640" i="40"/>
  <c r="B630" i="40"/>
  <c r="B654" i="40"/>
  <c r="B180" i="40"/>
  <c r="B143" i="40"/>
  <c r="C49" i="37" s="1"/>
  <c r="B298" i="40"/>
  <c r="B259" i="40"/>
  <c r="C49" i="74" s="1"/>
  <c r="B359" i="40"/>
  <c r="B327" i="40"/>
  <c r="C50" i="74" s="1"/>
  <c r="B443" i="40"/>
  <c r="B422" i="40"/>
  <c r="C52" i="37" s="1"/>
  <c r="B347" i="40"/>
  <c r="B477" i="40"/>
  <c r="B444" i="40"/>
  <c r="B565" i="40"/>
  <c r="B540" i="40"/>
  <c r="B594" i="40"/>
  <c r="B581" i="40"/>
  <c r="B617" i="40"/>
  <c r="B12" i="40"/>
  <c r="B47" i="40"/>
  <c r="B52" i="40"/>
  <c r="B26" i="40"/>
  <c r="B82" i="40"/>
  <c r="B92" i="40"/>
  <c r="B37" i="40"/>
  <c r="B126" i="40"/>
  <c r="B54" i="40"/>
  <c r="B845" i="40"/>
  <c r="B383" i="40"/>
  <c r="B365" i="40"/>
  <c r="B386" i="40"/>
  <c r="E583" i="1" s="1"/>
  <c r="B366" i="40"/>
  <c r="E582" i="1" s="1"/>
  <c r="B367" i="40"/>
  <c r="B93" i="40"/>
  <c r="B65" i="40"/>
  <c r="B33" i="57" s="1"/>
  <c r="B50" i="40"/>
  <c r="B34" i="57" s="1"/>
  <c r="B290" i="40"/>
  <c r="B262" i="40"/>
  <c r="B211" i="40"/>
  <c r="B144" i="40"/>
  <c r="B36" i="57" s="1"/>
  <c r="B128" i="40"/>
  <c r="B37" i="57" s="1"/>
  <c r="B315" i="40"/>
  <c r="B316" i="40"/>
  <c r="B533" i="40"/>
  <c r="B491" i="40"/>
  <c r="B659" i="40"/>
  <c r="B544" i="40"/>
  <c r="B615" i="40"/>
  <c r="B212" i="40"/>
  <c r="B168" i="40"/>
  <c r="B479" i="40"/>
  <c r="B48" i="40"/>
  <c r="B545" i="40"/>
  <c r="B500" i="40"/>
  <c r="B224" i="40"/>
  <c r="B171" i="40"/>
  <c r="C46" i="72" s="1"/>
  <c r="B172" i="40"/>
  <c r="B572" i="40"/>
  <c r="B846" i="40"/>
  <c r="B522" i="40"/>
  <c r="B480" i="40"/>
  <c r="B496" i="40"/>
  <c r="B550" i="40"/>
  <c r="B537" i="40"/>
  <c r="C47" i="72" s="1"/>
  <c r="B170" i="40"/>
  <c r="B215" i="40"/>
  <c r="B267" i="40"/>
  <c r="B227" i="40"/>
  <c r="B847" i="40"/>
  <c r="B271" i="40"/>
  <c r="B503" i="40"/>
  <c r="B462" i="40"/>
  <c r="B7" i="40"/>
  <c r="B848" i="40"/>
  <c r="B418" i="40"/>
  <c r="B330" i="40"/>
  <c r="B675" i="40"/>
  <c r="B96" i="40"/>
  <c r="B268" i="40"/>
  <c r="B263" i="40"/>
  <c r="B264" i="40"/>
  <c r="B152" i="40"/>
  <c r="B133" i="40"/>
  <c r="B127" i="40"/>
  <c r="B58" i="40"/>
  <c r="B44" i="40"/>
  <c r="B360" i="40"/>
  <c r="B342" i="40"/>
  <c r="B38" i="40"/>
  <c r="B77" i="40"/>
  <c r="B145" i="40"/>
  <c r="B114" i="40"/>
  <c r="B100" i="40"/>
  <c r="B69" i="40"/>
  <c r="B101" i="40"/>
  <c r="B504" i="40"/>
  <c r="B481" i="40"/>
  <c r="C33" i="37" s="1"/>
  <c r="B849" i="40"/>
  <c r="B850" i="40"/>
  <c r="B302" i="40"/>
  <c r="B505" i="40"/>
  <c r="B482" i="40"/>
  <c r="C33" i="74" s="1"/>
  <c r="B408" i="40"/>
  <c r="B385" i="40"/>
  <c r="B397" i="40"/>
  <c r="B153" i="40"/>
  <c r="B265" i="40"/>
  <c r="B219" i="40"/>
  <c r="B412" i="40"/>
  <c r="B372" i="40"/>
  <c r="B344" i="40"/>
  <c r="B321" i="40"/>
  <c r="B445" i="40"/>
  <c r="B421" i="40"/>
  <c r="B524" i="40"/>
  <c r="B499" i="40"/>
  <c r="B598" i="40"/>
  <c r="B586" i="40"/>
  <c r="B95" i="40"/>
  <c r="B463" i="40"/>
  <c r="B436" i="40"/>
  <c r="B107" i="40"/>
  <c r="B229" i="40"/>
  <c r="B194" i="40"/>
  <c r="B162" i="40"/>
  <c r="B137" i="40"/>
  <c r="B272" i="40"/>
  <c r="B232" i="40"/>
  <c r="B353" i="40"/>
  <c r="B332" i="40"/>
  <c r="B11" i="40"/>
  <c r="B10" i="40"/>
  <c r="C47" i="51" s="1"/>
  <c r="B377" i="40"/>
  <c r="B364" i="40"/>
  <c r="B13" i="57" s="1"/>
  <c r="B464" i="40"/>
  <c r="B450" i="40"/>
  <c r="B14" i="57" s="1"/>
  <c r="B527" i="40"/>
  <c r="B514" i="40"/>
  <c r="B15" i="57" s="1"/>
  <c r="B627" i="40"/>
  <c r="B182" i="40"/>
  <c r="B851" i="40"/>
  <c r="B49" i="40"/>
  <c r="B27" i="57" s="1"/>
  <c r="B852" i="40"/>
  <c r="B85" i="40"/>
  <c r="B28" i="57" s="1"/>
  <c r="B853" i="40"/>
  <c r="B854" i="40"/>
  <c r="B29" i="57" s="1"/>
  <c r="B855" i="40"/>
  <c r="B856" i="40"/>
  <c r="B857" i="40"/>
  <c r="B858" i="40"/>
  <c r="B425" i="40"/>
  <c r="B859" i="40"/>
  <c r="B860" i="40"/>
  <c r="B861" i="40"/>
  <c r="B862" i="40"/>
  <c r="B863" i="40"/>
  <c r="B864" i="40"/>
  <c r="B417" i="40"/>
  <c r="B865" i="40"/>
  <c r="B866" i="40"/>
  <c r="B867" i="40"/>
  <c r="B868" i="40"/>
  <c r="B869" i="40"/>
  <c r="B567" i="40"/>
  <c r="B870" i="40"/>
  <c r="B871" i="40"/>
  <c r="B214" i="40"/>
  <c r="B201" i="40"/>
  <c r="B409" i="40"/>
  <c r="B368" i="40"/>
  <c r="B308" i="40"/>
  <c r="B295" i="40"/>
  <c r="B872" i="40"/>
  <c r="B873" i="40"/>
  <c r="B874" i="40"/>
  <c r="B875" i="40"/>
  <c r="B876" i="40"/>
  <c r="B877" i="40"/>
  <c r="B878" i="40"/>
  <c r="B879" i="40"/>
  <c r="B880" i="40"/>
  <c r="B881" i="40"/>
  <c r="B63" i="40"/>
  <c r="B30" i="40"/>
  <c r="B72" i="40"/>
  <c r="C30" i="81" s="1"/>
  <c r="B882" i="40"/>
  <c r="B33" i="40"/>
  <c r="B53" i="40"/>
  <c r="B883" i="40"/>
  <c r="B884" i="40"/>
  <c r="B134" i="40"/>
  <c r="C32" i="85" s="1"/>
  <c r="B32" i="40"/>
  <c r="B99" i="40"/>
  <c r="B885" i="40"/>
  <c r="C32" i="86" s="1"/>
  <c r="B216" i="40"/>
  <c r="B886" i="40"/>
  <c r="B887" i="40"/>
  <c r="B888" i="40"/>
  <c r="B260" i="40"/>
  <c r="B230" i="40"/>
  <c r="B213" i="40"/>
  <c r="B190" i="40"/>
  <c r="B183" i="40"/>
  <c r="B175" i="40"/>
  <c r="B292" i="40"/>
  <c r="B184" i="40"/>
  <c r="B191" i="40"/>
  <c r="B424" i="40"/>
  <c r="B430" i="40"/>
  <c r="B338" i="40"/>
  <c r="B431" i="40"/>
  <c r="B416" i="40"/>
  <c r="B339" i="40"/>
  <c r="B340" i="40"/>
  <c r="B356" i="40"/>
  <c r="B889" i="40"/>
  <c r="B328" i="40"/>
  <c r="B301" i="40"/>
  <c r="B890" i="40"/>
  <c r="B891" i="40"/>
  <c r="B892" i="40"/>
  <c r="B893" i="40"/>
  <c r="B894" i="40"/>
  <c r="B895" i="40"/>
  <c r="B896" i="40"/>
  <c r="B518" i="40"/>
  <c r="B495" i="40"/>
  <c r="B466" i="40"/>
  <c r="B897" i="40"/>
  <c r="B285" i="40"/>
  <c r="B898" i="40"/>
  <c r="B434" i="40"/>
  <c r="B261" i="40"/>
  <c r="B186" i="40"/>
  <c r="C821" i="40"/>
  <c r="C820" i="40"/>
  <c r="C337" i="40"/>
  <c r="C310" i="40"/>
  <c r="C389" i="40"/>
  <c r="C274" i="40"/>
  <c r="C402" i="40"/>
  <c r="C727" i="40"/>
  <c r="C375" i="40"/>
  <c r="C728" i="40"/>
  <c r="C150" i="40"/>
  <c r="C291" i="40"/>
  <c r="C233" i="40"/>
  <c r="C376" i="40"/>
  <c r="C173" i="40"/>
  <c r="C506" i="40"/>
  <c r="C725" i="40"/>
  <c r="C726" i="40"/>
  <c r="A694" i="1"/>
  <c r="A693" i="1"/>
  <c r="A692" i="1"/>
  <c r="A691" i="1"/>
  <c r="A690" i="1"/>
  <c r="A689" i="1"/>
  <c r="A688" i="1"/>
  <c r="C186" i="40"/>
  <c r="C261" i="40"/>
  <c r="C898" i="40"/>
  <c r="C434" i="40"/>
  <c r="M4" i="72"/>
  <c r="M5" i="72" s="1"/>
  <c r="F73" i="42"/>
  <c r="T15" i="77"/>
  <c r="F2" i="57"/>
  <c r="G23" i="61"/>
  <c r="G23" i="62"/>
  <c r="G23" i="58"/>
  <c r="G23" i="46"/>
  <c r="G21" i="47"/>
  <c r="G21" i="48"/>
  <c r="G23" i="34"/>
  <c r="G22" i="44"/>
  <c r="G23" i="70"/>
  <c r="G23" i="20"/>
  <c r="G23" i="17"/>
  <c r="G23" i="19"/>
  <c r="G23" i="18"/>
  <c r="G24" i="8"/>
  <c r="G23" i="56"/>
  <c r="G25" i="74"/>
  <c r="G25" i="37"/>
  <c r="G28" i="53"/>
  <c r="G29" i="51"/>
  <c r="G28" i="55"/>
  <c r="G26" i="7"/>
  <c r="G26" i="54"/>
  <c r="G26" i="5"/>
  <c r="G26" i="6"/>
  <c r="G26" i="71"/>
  <c r="G26" i="31"/>
  <c r="G26" i="30"/>
  <c r="G26" i="4"/>
  <c r="G26" i="3"/>
  <c r="A271" i="1"/>
  <c r="E271" i="1" s="1"/>
  <c r="A272" i="1"/>
  <c r="A273" i="1"/>
  <c r="E273" i="1" s="1"/>
  <c r="A335" i="1"/>
  <c r="A334" i="1"/>
  <c r="A333" i="1"/>
  <c r="A283" i="1"/>
  <c r="A284" i="1"/>
  <c r="A285" i="1"/>
  <c r="A28" i="1"/>
  <c r="A38" i="1"/>
  <c r="A33" i="1"/>
  <c r="D30" i="61"/>
  <c r="J30" i="61" s="1"/>
  <c r="D29" i="61"/>
  <c r="J29" i="61" s="1"/>
  <c r="B24" i="61"/>
  <c r="P7" i="61"/>
  <c r="O7" i="61"/>
  <c r="O8" i="61" s="1"/>
  <c r="O5" i="61" s="1"/>
  <c r="C7" i="61"/>
  <c r="C8" i="61"/>
  <c r="B8" i="61"/>
  <c r="B6" i="61"/>
  <c r="O4" i="61"/>
  <c r="D30" i="62"/>
  <c r="J30" i="62" s="1"/>
  <c r="D29" i="62"/>
  <c r="J29" i="62" s="1"/>
  <c r="B24" i="62"/>
  <c r="P7" i="62"/>
  <c r="O7" i="62"/>
  <c r="O8" i="62" s="1"/>
  <c r="O5" i="62" s="1"/>
  <c r="C7" i="62"/>
  <c r="C8" i="62" s="1"/>
  <c r="B6" i="62"/>
  <c r="O4" i="62"/>
  <c r="B24" i="58"/>
  <c r="C9" i="58"/>
  <c r="C7" i="58"/>
  <c r="C8" i="58"/>
  <c r="B10" i="58"/>
  <c r="J31" i="46"/>
  <c r="D29" i="46"/>
  <c r="J29" i="46" s="1"/>
  <c r="D28" i="46"/>
  <c r="J28" i="46" s="1"/>
  <c r="B24" i="46"/>
  <c r="P7" i="46"/>
  <c r="C7" i="46"/>
  <c r="C8" i="46"/>
  <c r="B8" i="46"/>
  <c r="J29" i="47"/>
  <c r="D27" i="47"/>
  <c r="J27" i="47" s="1"/>
  <c r="D26" i="47"/>
  <c r="J26" i="47" s="1"/>
  <c r="B22" i="47"/>
  <c r="C7" i="47"/>
  <c r="C8" i="47" s="1"/>
  <c r="B6" i="47"/>
  <c r="J30" i="48"/>
  <c r="D28" i="48"/>
  <c r="J28" i="48" s="1"/>
  <c r="D27" i="48"/>
  <c r="J27" i="48" s="1"/>
  <c r="P7" i="48"/>
  <c r="C7" i="48"/>
  <c r="C8" i="48"/>
  <c r="B8" i="48"/>
  <c r="B9" i="48" s="1"/>
  <c r="D29" i="48" s="1"/>
  <c r="J29" i="48" s="1"/>
  <c r="B6" i="48"/>
  <c r="J32" i="34"/>
  <c r="D30" i="34"/>
  <c r="J30" i="34" s="1"/>
  <c r="B24" i="34"/>
  <c r="P7" i="34"/>
  <c r="C7" i="34"/>
  <c r="C8" i="34" s="1"/>
  <c r="B8" i="34"/>
  <c r="B6" i="34"/>
  <c r="J31" i="44"/>
  <c r="D29" i="44"/>
  <c r="J29" i="44" s="1"/>
  <c r="D28" i="44"/>
  <c r="J28" i="44" s="1"/>
  <c r="C7" i="44"/>
  <c r="C8" i="44" s="1"/>
  <c r="B6" i="44"/>
  <c r="D30" i="33"/>
  <c r="J30" i="33" s="1"/>
  <c r="D29" i="33"/>
  <c r="J29" i="33" s="1"/>
  <c r="C7" i="33"/>
  <c r="C8" i="33" s="1"/>
  <c r="B8" i="33"/>
  <c r="B9" i="33" s="1"/>
  <c r="D31" i="33" s="1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O7" i="70"/>
  <c r="C8" i="70"/>
  <c r="B6" i="70"/>
  <c r="J32" i="20"/>
  <c r="D30" i="20"/>
  <c r="J30" i="20" s="1"/>
  <c r="O7" i="20"/>
  <c r="N7" i="20"/>
  <c r="N8" i="20" s="1"/>
  <c r="C7" i="20"/>
  <c r="C8" i="20" s="1"/>
  <c r="B8" i="20"/>
  <c r="B9" i="20" s="1"/>
  <c r="D31" i="20" s="1"/>
  <c r="B6" i="20"/>
  <c r="J32" i="17"/>
  <c r="D30" i="17"/>
  <c r="P7" i="17"/>
  <c r="O7" i="17"/>
  <c r="O8" i="17" s="1"/>
  <c r="C7" i="17"/>
  <c r="C8" i="17" s="1"/>
  <c r="B6" i="17"/>
  <c r="K32" i="19"/>
  <c r="D30" i="19"/>
  <c r="K30" i="19" s="1"/>
  <c r="D29" i="19"/>
  <c r="K29" i="19" s="1"/>
  <c r="P7" i="19"/>
  <c r="O7" i="19"/>
  <c r="O8" i="19" s="1"/>
  <c r="C7" i="19"/>
  <c r="C8" i="19"/>
  <c r="B8" i="19"/>
  <c r="K32" i="18"/>
  <c r="D30" i="18"/>
  <c r="K30" i="18" s="1"/>
  <c r="D29" i="18"/>
  <c r="K29" i="18" s="1"/>
  <c r="P7" i="18"/>
  <c r="O7" i="18"/>
  <c r="O8" i="18" s="1"/>
  <c r="C7" i="18"/>
  <c r="C8" i="18" s="1"/>
  <c r="B8" i="18"/>
  <c r="B9" i="18" s="1"/>
  <c r="B6" i="18"/>
  <c r="D31" i="8"/>
  <c r="D30" i="8"/>
  <c r="B25" i="8"/>
  <c r="B22" i="48"/>
  <c r="P7" i="8"/>
  <c r="O7" i="8"/>
  <c r="O8" i="8" s="1"/>
  <c r="C7" i="8"/>
  <c r="C8" i="8" s="1"/>
  <c r="B8" i="8"/>
  <c r="B9" i="8" s="1"/>
  <c r="J298" i="56"/>
  <c r="C298" i="56"/>
  <c r="B24" i="56"/>
  <c r="C7" i="56"/>
  <c r="C8" i="56" s="1"/>
  <c r="J56" i="74"/>
  <c r="J37" i="74"/>
  <c r="D36" i="74"/>
  <c r="J36" i="74" s="1"/>
  <c r="D32" i="74"/>
  <c r="J32" i="74" s="1"/>
  <c r="J40" i="74"/>
  <c r="D31" i="74"/>
  <c r="D30" i="74"/>
  <c r="J30" i="74" s="1"/>
  <c r="B26" i="74"/>
  <c r="O7" i="74"/>
  <c r="N7" i="74"/>
  <c r="N8" i="74" s="1"/>
  <c r="C7" i="74"/>
  <c r="C11" i="74" s="1"/>
  <c r="B8" i="74"/>
  <c r="B9" i="74" s="1"/>
  <c r="B6" i="74"/>
  <c r="J67" i="37"/>
  <c r="J66" i="37"/>
  <c r="J65" i="37"/>
  <c r="J64" i="37"/>
  <c r="J63" i="37"/>
  <c r="J62" i="37"/>
  <c r="J61" i="37"/>
  <c r="J60" i="37"/>
  <c r="J57" i="37"/>
  <c r="J53" i="37"/>
  <c r="J52" i="37"/>
  <c r="J51" i="37"/>
  <c r="J50" i="37"/>
  <c r="J49" i="37"/>
  <c r="J37" i="37"/>
  <c r="D36" i="37"/>
  <c r="J36" i="37" s="1"/>
  <c r="D32" i="37"/>
  <c r="J32" i="37" s="1"/>
  <c r="D31" i="37"/>
  <c r="J31" i="37" s="1"/>
  <c r="D30" i="37"/>
  <c r="J30" i="37" s="1"/>
  <c r="B26" i="37"/>
  <c r="O7" i="37"/>
  <c r="N7" i="37"/>
  <c r="N8" i="37"/>
  <c r="C7" i="37"/>
  <c r="C8" i="37" s="1"/>
  <c r="B8" i="37"/>
  <c r="B9" i="37" s="1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B29" i="53"/>
  <c r="C11" i="53"/>
  <c r="O10" i="53"/>
  <c r="L9" i="53"/>
  <c r="O7" i="53"/>
  <c r="K27" i="53" s="1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B30" i="51"/>
  <c r="C11" i="51"/>
  <c r="O10" i="51"/>
  <c r="L9" i="51"/>
  <c r="O7" i="51"/>
  <c r="K29" i="51" s="1"/>
  <c r="C7" i="51"/>
  <c r="C8" i="51" s="1"/>
  <c r="C9" i="51" s="1"/>
  <c r="B6" i="51"/>
  <c r="N4" i="51"/>
  <c r="N5" i="51" s="1"/>
  <c r="J63" i="55"/>
  <c r="J62" i="55"/>
  <c r="J61" i="55"/>
  <c r="J60" i="55"/>
  <c r="J59" i="55"/>
  <c r="J58" i="55"/>
  <c r="J56" i="55"/>
  <c r="J49" i="55"/>
  <c r="J48" i="55"/>
  <c r="J47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B29" i="55"/>
  <c r="C11" i="55"/>
  <c r="O10" i="55"/>
  <c r="L9" i="55"/>
  <c r="O7" i="55"/>
  <c r="K26" i="55" s="1"/>
  <c r="C7" i="55"/>
  <c r="C8" i="55" s="1"/>
  <c r="C9" i="55" s="1"/>
  <c r="B12" i="55"/>
  <c r="D36" i="55" s="1"/>
  <c r="N4" i="55"/>
  <c r="N5" i="55" s="1"/>
  <c r="A67" i="7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B27" i="7"/>
  <c r="C11" i="7"/>
  <c r="O10" i="7"/>
  <c r="L9" i="7"/>
  <c r="O7" i="7"/>
  <c r="C10" i="7"/>
  <c r="N4" i="7"/>
  <c r="N5" i="7"/>
  <c r="A66" i="54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B27" i="54"/>
  <c r="C11" i="54"/>
  <c r="O10" i="54"/>
  <c r="L9" i="54"/>
  <c r="O7" i="54"/>
  <c r="K24" i="54" s="1"/>
  <c r="C7" i="54"/>
  <c r="C8" i="54"/>
  <c r="C9" i="54" s="1"/>
  <c r="B12" i="54"/>
  <c r="D34" i="54" s="1"/>
  <c r="N4" i="54"/>
  <c r="N5" i="54" s="1"/>
  <c r="A65" i="5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5"/>
  <c r="B27" i="71"/>
  <c r="C11" i="5"/>
  <c r="P10" i="5"/>
  <c r="M9" i="5"/>
  <c r="P7" i="5"/>
  <c r="C7" i="5"/>
  <c r="C8" i="5" s="1"/>
  <c r="C9" i="5" s="1"/>
  <c r="A65" i="6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C11" i="6"/>
  <c r="P10" i="6"/>
  <c r="M9" i="6"/>
  <c r="B8" i="6"/>
  <c r="B9" i="6" s="1"/>
  <c r="P7" i="6"/>
  <c r="L25" i="6" s="1"/>
  <c r="C7" i="6"/>
  <c r="C10" i="6" s="1"/>
  <c r="B12" i="6"/>
  <c r="D34" i="6"/>
  <c r="A66" i="7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C11" i="71"/>
  <c r="P10" i="71"/>
  <c r="M9" i="71"/>
  <c r="P7" i="71"/>
  <c r="L25" i="71" s="1"/>
  <c r="C7" i="71"/>
  <c r="C10" i="71"/>
  <c r="L9" i="71" s="1"/>
  <c r="L11" i="71" s="1"/>
  <c r="O7" i="71" s="1"/>
  <c r="O8" i="71" s="1"/>
  <c r="B12" i="71"/>
  <c r="D34" i="71" s="1"/>
  <c r="B6" i="71"/>
  <c r="A67" i="3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C11" i="31"/>
  <c r="P10" i="31"/>
  <c r="M9" i="31"/>
  <c r="P7" i="31"/>
  <c r="C7" i="31"/>
  <c r="C8" i="31" s="1"/>
  <c r="C9" i="31" s="1"/>
  <c r="B8" i="31"/>
  <c r="B9" i="31" s="1"/>
  <c r="A66" i="30"/>
  <c r="J65" i="30"/>
  <c r="J64" i="30"/>
  <c r="J63" i="30"/>
  <c r="J62" i="30"/>
  <c r="J61" i="30"/>
  <c r="J60" i="30"/>
  <c r="J59" i="30"/>
  <c r="J57" i="30"/>
  <c r="D35" i="30"/>
  <c r="K35" i="30" s="1"/>
  <c r="D33" i="30"/>
  <c r="D31" i="30"/>
  <c r="K31" i="30" s="1"/>
  <c r="C11" i="30"/>
  <c r="P10" i="30"/>
  <c r="M9" i="30"/>
  <c r="P7" i="30"/>
  <c r="C7" i="30"/>
  <c r="C10" i="30" s="1"/>
  <c r="J64" i="4"/>
  <c r="J63" i="4"/>
  <c r="J62" i="4"/>
  <c r="J61" i="4"/>
  <c r="J60" i="4"/>
  <c r="J59" i="4"/>
  <c r="J58" i="4"/>
  <c r="J56" i="4"/>
  <c r="L36" i="4"/>
  <c r="D35" i="4"/>
  <c r="D33" i="4"/>
  <c r="K33" i="4" s="1"/>
  <c r="D31" i="4"/>
  <c r="J31" i="4" s="1"/>
  <c r="B27" i="4"/>
  <c r="C11" i="4"/>
  <c r="P10" i="4"/>
  <c r="M9" i="4"/>
  <c r="P7" i="4"/>
  <c r="L26" i="4" s="1"/>
  <c r="C7" i="4"/>
  <c r="C10" i="4" s="1"/>
  <c r="B12" i="4"/>
  <c r="D34" i="4" s="1"/>
  <c r="A65" i="3"/>
  <c r="K64" i="3"/>
  <c r="K63" i="3"/>
  <c r="K61" i="3"/>
  <c r="K60" i="3"/>
  <c r="K59" i="3"/>
  <c r="K55" i="3"/>
  <c r="K53" i="3"/>
  <c r="K52" i="3"/>
  <c r="K51" i="3"/>
  <c r="D35" i="3"/>
  <c r="K35" i="3" s="1"/>
  <c r="D33" i="3"/>
  <c r="K33" i="3" s="1"/>
  <c r="K43" i="3"/>
  <c r="D32" i="3"/>
  <c r="K32" i="3" s="1"/>
  <c r="D31" i="3"/>
  <c r="K31" i="3" s="1"/>
  <c r="C11" i="3"/>
  <c r="P10" i="3"/>
  <c r="M9" i="3"/>
  <c r="P7" i="3"/>
  <c r="C7" i="3"/>
  <c r="C10" i="3" s="1"/>
  <c r="B8" i="3"/>
  <c r="B9" i="3" s="1"/>
  <c r="S5" i="3"/>
  <c r="J60" i="72"/>
  <c r="D36" i="72"/>
  <c r="J36" i="72" s="1"/>
  <c r="D34" i="72"/>
  <c r="D33" i="72"/>
  <c r="D32" i="72"/>
  <c r="J32" i="72" s="1"/>
  <c r="O10" i="72"/>
  <c r="C10" i="72"/>
  <c r="L9" i="72"/>
  <c r="O7" i="72"/>
  <c r="K25" i="72" s="1"/>
  <c r="C7" i="72"/>
  <c r="C8" i="72" s="1"/>
  <c r="B11" i="72"/>
  <c r="D35" i="72" s="1"/>
  <c r="R5" i="72"/>
  <c r="C317" i="77"/>
  <c r="I316" i="77"/>
  <c r="U15" i="77"/>
  <c r="G27" i="72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1" i="1"/>
  <c r="A600" i="1"/>
  <c r="A594" i="1"/>
  <c r="A593" i="1"/>
  <c r="A592" i="1"/>
  <c r="A591" i="1"/>
  <c r="A590" i="1"/>
  <c r="A589" i="1"/>
  <c r="A588" i="1"/>
  <c r="A585" i="1"/>
  <c r="G585" i="1" s="1"/>
  <c r="A584" i="1"/>
  <c r="G584" i="1" s="1"/>
  <c r="A579" i="1"/>
  <c r="G579" i="1" s="1"/>
  <c r="A578" i="1"/>
  <c r="G578" i="1" s="1"/>
  <c r="A577" i="1"/>
  <c r="A576" i="1"/>
  <c r="A574" i="1"/>
  <c r="G574" i="1" s="1"/>
  <c r="A573" i="1"/>
  <c r="G573" i="1" s="1"/>
  <c r="A571" i="1"/>
  <c r="A569" i="1"/>
  <c r="A568" i="1"/>
  <c r="A567" i="1"/>
  <c r="G567" i="1" s="1"/>
  <c r="A564" i="1"/>
  <c r="G564" i="1" s="1"/>
  <c r="A563" i="1"/>
  <c r="G563" i="1" s="1"/>
  <c r="A562" i="1"/>
  <c r="F562" i="1" s="1"/>
  <c r="A561" i="1"/>
  <c r="A559" i="1"/>
  <c r="A558" i="1"/>
  <c r="A555" i="1"/>
  <c r="G555" i="1" s="1"/>
  <c r="A554" i="1"/>
  <c r="G554" i="1" s="1"/>
  <c r="A553" i="1"/>
  <c r="G553" i="1" s="1"/>
  <c r="A552" i="1"/>
  <c r="A550" i="1"/>
  <c r="A549" i="1"/>
  <c r="A548" i="1"/>
  <c r="E548" i="1" s="1"/>
  <c r="A545" i="1"/>
  <c r="A544" i="1"/>
  <c r="G544" i="1" s="1"/>
  <c r="A543" i="1"/>
  <c r="G543" i="1" s="1"/>
  <c r="A542" i="1"/>
  <c r="G542" i="1" s="1"/>
  <c r="A540" i="1"/>
  <c r="G540" i="1" s="1"/>
  <c r="A539" i="1"/>
  <c r="G539" i="1" s="1"/>
  <c r="A533" i="1"/>
  <c r="G533" i="1" s="1"/>
  <c r="A532" i="1"/>
  <c r="G532" i="1" s="1"/>
  <c r="A530" i="1"/>
  <c r="A524" i="1"/>
  <c r="G524" i="1" s="1"/>
  <c r="A523" i="1"/>
  <c r="G523" i="1" s="1"/>
  <c r="A522" i="1"/>
  <c r="G522" i="1" s="1"/>
  <c r="A515" i="1"/>
  <c r="G515" i="1" s="1"/>
  <c r="A514" i="1"/>
  <c r="G514" i="1" s="1"/>
  <c r="A513" i="1"/>
  <c r="G513" i="1" s="1"/>
  <c r="A512" i="1"/>
  <c r="F512" i="1" s="1"/>
  <c r="A510" i="1"/>
  <c r="G510" i="1" s="1"/>
  <c r="A504" i="1"/>
  <c r="G504" i="1" s="1"/>
  <c r="A503" i="1"/>
  <c r="G503" i="1" s="1"/>
  <c r="A502" i="1"/>
  <c r="A498" i="1"/>
  <c r="A497" i="1"/>
  <c r="A496" i="1"/>
  <c r="A495" i="1"/>
  <c r="G495" i="1" s="1"/>
  <c r="A494" i="1"/>
  <c r="G494" i="1" s="1"/>
  <c r="A493" i="1"/>
  <c r="G493" i="1" s="1"/>
  <c r="A484" i="1"/>
  <c r="A483" i="1"/>
  <c r="G483" i="1" s="1"/>
  <c r="A482" i="1"/>
  <c r="F482" i="1" s="1"/>
  <c r="A475" i="1"/>
  <c r="G475" i="1" s="1"/>
  <c r="A474" i="1"/>
  <c r="G474" i="1" s="1"/>
  <c r="A473" i="1"/>
  <c r="G473" i="1" s="1"/>
  <c r="A472" i="1"/>
  <c r="A468" i="1"/>
  <c r="A467" i="1"/>
  <c r="A466" i="1"/>
  <c r="A465" i="1"/>
  <c r="G465" i="1" s="1"/>
  <c r="A464" i="1"/>
  <c r="G464" i="1" s="1"/>
  <c r="A463" i="1"/>
  <c r="G463" i="1" s="1"/>
  <c r="A458" i="1"/>
  <c r="A457" i="1"/>
  <c r="A456" i="1"/>
  <c r="A455" i="1"/>
  <c r="A450" i="1"/>
  <c r="A448" i="1"/>
  <c r="A446" i="1"/>
  <c r="A445" i="1"/>
  <c r="A443" i="1"/>
  <c r="A442" i="1"/>
  <c r="A441" i="1"/>
  <c r="A440" i="1"/>
  <c r="A439" i="1"/>
  <c r="A438" i="1"/>
  <c r="A437" i="1"/>
  <c r="A435" i="1"/>
  <c r="A434" i="1"/>
  <c r="A432" i="1"/>
  <c r="G432" i="1" s="1"/>
  <c r="A431" i="1"/>
  <c r="G431" i="1" s="1"/>
  <c r="A425" i="1"/>
  <c r="G425" i="1" s="1"/>
  <c r="A424" i="1"/>
  <c r="G424" i="1" s="1"/>
  <c r="A423" i="1"/>
  <c r="G423" i="1" s="1"/>
  <c r="A422" i="1"/>
  <c r="G422" i="1" s="1"/>
  <c r="A421" i="1"/>
  <c r="G421" i="1" s="1"/>
  <c r="A420" i="1"/>
  <c r="G420" i="1" s="1"/>
  <c r="A419" i="1"/>
  <c r="G419" i="1" s="1"/>
  <c r="A416" i="1"/>
  <c r="G416" i="1" s="1"/>
  <c r="A415" i="1"/>
  <c r="G415" i="1" s="1"/>
  <c r="A413" i="1"/>
  <c r="A411" i="1"/>
  <c r="A410" i="1"/>
  <c r="A408" i="1"/>
  <c r="A405" i="1"/>
  <c r="A404" i="1"/>
  <c r="F404" i="1" s="1"/>
  <c r="A403" i="1"/>
  <c r="E403" i="1" s="1"/>
  <c r="A401" i="1"/>
  <c r="G401" i="1" s="1"/>
  <c r="A399" i="1"/>
  <c r="G399" i="1" s="1"/>
  <c r="A396" i="1"/>
  <c r="A395" i="1"/>
  <c r="A394" i="1"/>
  <c r="A393" i="1"/>
  <c r="A392" i="1"/>
  <c r="G392" i="1" s="1"/>
  <c r="A391" i="1"/>
  <c r="G391" i="1" s="1"/>
  <c r="A390" i="1"/>
  <c r="G390" i="1" s="1"/>
  <c r="A389" i="1"/>
  <c r="G389" i="1" s="1"/>
  <c r="A388" i="1"/>
  <c r="A387" i="1"/>
  <c r="A386" i="1"/>
  <c r="A382" i="1"/>
  <c r="A381" i="1"/>
  <c r="A380" i="1"/>
  <c r="A379" i="1"/>
  <c r="F379" i="1" s="1"/>
  <c r="A378" i="1"/>
  <c r="A377" i="1"/>
  <c r="A376" i="1"/>
  <c r="A375" i="1"/>
  <c r="A374" i="1"/>
  <c r="A373" i="1"/>
  <c r="A372" i="1"/>
  <c r="G372" i="1" s="1"/>
  <c r="A370" i="1"/>
  <c r="A369" i="1"/>
  <c r="I366" i="1"/>
  <c r="A366" i="1"/>
  <c r="A365" i="1"/>
  <c r="A364" i="1"/>
  <c r="A363" i="1"/>
  <c r="I362" i="1"/>
  <c r="C362" i="1"/>
  <c r="A362" i="1"/>
  <c r="C361" i="1"/>
  <c r="A361" i="1"/>
  <c r="I360" i="1"/>
  <c r="C360" i="1"/>
  <c r="A360" i="1"/>
  <c r="C359" i="1"/>
  <c r="A359" i="1"/>
  <c r="A356" i="1"/>
  <c r="A355" i="1"/>
  <c r="A352" i="1"/>
  <c r="A351" i="1"/>
  <c r="A337" i="1"/>
  <c r="A336" i="1"/>
  <c r="A332" i="1"/>
  <c r="A331" i="1"/>
  <c r="A330" i="1"/>
  <c r="A329" i="1"/>
  <c r="G329" i="1" s="1"/>
  <c r="A328" i="1"/>
  <c r="A327" i="1"/>
  <c r="G327" i="1" s="1"/>
  <c r="A326" i="1"/>
  <c r="A325" i="1"/>
  <c r="A324" i="1"/>
  <c r="G324" i="1" s="1"/>
  <c r="A323" i="1"/>
  <c r="A322" i="1"/>
  <c r="G322" i="1" s="1"/>
  <c r="A321" i="1"/>
  <c r="A320" i="1"/>
  <c r="A319" i="1"/>
  <c r="G319" i="1" s="1"/>
  <c r="A318" i="1"/>
  <c r="G318" i="1" s="1"/>
  <c r="A317" i="1"/>
  <c r="G317" i="1" s="1"/>
  <c r="A316" i="1"/>
  <c r="G316" i="1" s="1"/>
  <c r="A315" i="1"/>
  <c r="G315" i="1" s="1"/>
  <c r="A314" i="1"/>
  <c r="G314" i="1" s="1"/>
  <c r="A313" i="1"/>
  <c r="G313" i="1" s="1"/>
  <c r="A312" i="1"/>
  <c r="A311" i="1"/>
  <c r="A310" i="1"/>
  <c r="A309" i="1"/>
  <c r="A305" i="1"/>
  <c r="A304" i="1"/>
  <c r="A303" i="1"/>
  <c r="A301" i="1"/>
  <c r="A300" i="1"/>
  <c r="A299" i="1"/>
  <c r="A298" i="1"/>
  <c r="A297" i="1"/>
  <c r="A296" i="1"/>
  <c r="A295" i="1"/>
  <c r="G295" i="1" s="1"/>
  <c r="A287" i="1"/>
  <c r="A286" i="1"/>
  <c r="A282" i="1"/>
  <c r="A281" i="1"/>
  <c r="A280" i="1"/>
  <c r="A279" i="1"/>
  <c r="G279" i="1" s="1"/>
  <c r="A278" i="1"/>
  <c r="G278" i="1" s="1"/>
  <c r="A277" i="1"/>
  <c r="G277" i="1" s="1"/>
  <c r="A276" i="1"/>
  <c r="G276" i="1" s="1"/>
  <c r="A275" i="1"/>
  <c r="G275" i="1" s="1"/>
  <c r="A274" i="1"/>
  <c r="G274" i="1" s="1"/>
  <c r="A270" i="1"/>
  <c r="G270" i="1" s="1"/>
  <c r="A269" i="1"/>
  <c r="G269" i="1" s="1"/>
  <c r="A268" i="1"/>
  <c r="G268" i="1" s="1"/>
  <c r="A267" i="1"/>
  <c r="G267" i="1" s="1"/>
  <c r="A266" i="1"/>
  <c r="A265" i="1"/>
  <c r="G265" i="1" s="1"/>
  <c r="A264" i="1"/>
  <c r="A263" i="1"/>
  <c r="G263" i="1" s="1"/>
  <c r="A262" i="1"/>
  <c r="A261" i="1"/>
  <c r="G261" i="1" s="1"/>
  <c r="A260" i="1"/>
  <c r="G260" i="1" s="1"/>
  <c r="A259" i="1"/>
  <c r="A258" i="1"/>
  <c r="G258" i="1" s="1"/>
  <c r="A257" i="1"/>
  <c r="G257" i="1" s="1"/>
  <c r="A98" i="1"/>
  <c r="G98" i="1" s="1"/>
  <c r="A97" i="1"/>
  <c r="G97" i="1" s="1"/>
  <c r="A96" i="1"/>
  <c r="G96" i="1" s="1"/>
  <c r="A95" i="1"/>
  <c r="G95" i="1" s="1"/>
  <c r="A93" i="1"/>
  <c r="G93" i="1" s="1"/>
  <c r="A92" i="1"/>
  <c r="G92" i="1" s="1"/>
  <c r="A91" i="1"/>
  <c r="A90" i="1"/>
  <c r="A256" i="1"/>
  <c r="F256" i="1" s="1"/>
  <c r="A255" i="1"/>
  <c r="A254" i="1"/>
  <c r="A253" i="1"/>
  <c r="A252" i="1"/>
  <c r="A251" i="1"/>
  <c r="A246" i="1"/>
  <c r="A245" i="1"/>
  <c r="A244" i="1"/>
  <c r="A243" i="1"/>
  <c r="G243" i="1" s="1"/>
  <c r="A242" i="1"/>
  <c r="A210" i="1"/>
  <c r="A209" i="1"/>
  <c r="A208" i="1"/>
  <c r="A207" i="1"/>
  <c r="A206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89" i="1"/>
  <c r="G189" i="1" s="1"/>
  <c r="A188" i="1"/>
  <c r="G188" i="1" s="1"/>
  <c r="A187" i="1"/>
  <c r="G187" i="1" s="1"/>
  <c r="A186" i="1"/>
  <c r="G186" i="1" s="1"/>
  <c r="A184" i="1"/>
  <c r="G184" i="1" s="1"/>
  <c r="A183" i="1"/>
  <c r="G183" i="1" s="1"/>
  <c r="A182" i="1"/>
  <c r="G182" i="1" s="1"/>
  <c r="A181" i="1"/>
  <c r="G181" i="1" s="1"/>
  <c r="A179" i="1"/>
  <c r="G179" i="1" s="1"/>
  <c r="A178" i="1"/>
  <c r="G178" i="1" s="1"/>
  <c r="A177" i="1"/>
  <c r="G177" i="1" s="1"/>
  <c r="A176" i="1"/>
  <c r="G176" i="1" s="1"/>
  <c r="A175" i="1"/>
  <c r="G175" i="1" s="1"/>
  <c r="A240" i="1"/>
  <c r="A239" i="1"/>
  <c r="A238" i="1"/>
  <c r="A233" i="1"/>
  <c r="A232" i="1"/>
  <c r="A231" i="1"/>
  <c r="A230" i="1"/>
  <c r="A229" i="1"/>
  <c r="A228" i="1"/>
  <c r="A227" i="1"/>
  <c r="A226" i="1"/>
  <c r="A37" i="1"/>
  <c r="A36" i="1"/>
  <c r="A35" i="1"/>
  <c r="A34" i="1"/>
  <c r="A32" i="1"/>
  <c r="A31" i="1"/>
  <c r="A30" i="1"/>
  <c r="A29" i="1"/>
  <c r="A27" i="1"/>
  <c r="A26" i="1"/>
  <c r="A25" i="1"/>
  <c r="A24" i="1"/>
  <c r="A117" i="1"/>
  <c r="A116" i="1"/>
  <c r="A115" i="1"/>
  <c r="A23" i="1"/>
  <c r="A22" i="1"/>
  <c r="A21" i="1"/>
  <c r="A20" i="1"/>
  <c r="L10" i="1"/>
  <c r="K10" i="1"/>
  <c r="N9" i="1"/>
  <c r="M9" i="1"/>
  <c r="L9" i="1"/>
  <c r="N8" i="1"/>
  <c r="M8" i="1"/>
  <c r="L8" i="1"/>
  <c r="N7" i="1"/>
  <c r="K7" i="1"/>
  <c r="A6" i="1"/>
  <c r="G6" i="1" s="1"/>
  <c r="A5" i="1"/>
  <c r="G5" i="1" s="1"/>
  <c r="N4" i="1"/>
  <c r="A4" i="1"/>
  <c r="G4" i="1" s="1"/>
  <c r="J1" i="1"/>
  <c r="G1" i="39"/>
  <c r="A15" i="78"/>
  <c r="C285" i="40"/>
  <c r="C897" i="40"/>
  <c r="C466" i="40"/>
  <c r="C495" i="40"/>
  <c r="C518" i="40"/>
  <c r="C896" i="40"/>
  <c r="C895" i="40"/>
  <c r="C894" i="40"/>
  <c r="C893" i="40"/>
  <c r="C892" i="40"/>
  <c r="C891" i="40"/>
  <c r="C890" i="40"/>
  <c r="C301" i="40"/>
  <c r="C328" i="40"/>
  <c r="C889" i="40"/>
  <c r="C356" i="40"/>
  <c r="C340" i="40"/>
  <c r="C339" i="40"/>
  <c r="C416" i="40"/>
  <c r="C431" i="40"/>
  <c r="C338" i="40"/>
  <c r="C430" i="40"/>
  <c r="C424" i="40"/>
  <c r="C191" i="40"/>
  <c r="C184" i="40"/>
  <c r="C292" i="40"/>
  <c r="C175" i="40"/>
  <c r="C183" i="40"/>
  <c r="C190" i="40"/>
  <c r="C213" i="40"/>
  <c r="C230" i="40"/>
  <c r="C260" i="40"/>
  <c r="C888" i="40"/>
  <c r="C887" i="40"/>
  <c r="C886" i="40"/>
  <c r="C216" i="40"/>
  <c r="C885" i="40"/>
  <c r="C99" i="40"/>
  <c r="C32" i="40"/>
  <c r="C134" i="40"/>
  <c r="E32" i="85" s="1"/>
  <c r="F32" i="85" s="1"/>
  <c r="G32" i="85" s="1"/>
  <c r="C884" i="40"/>
  <c r="C883" i="40"/>
  <c r="E34" i="78" s="1"/>
  <c r="C53" i="40"/>
  <c r="C33" i="40"/>
  <c r="C882" i="40"/>
  <c r="C72" i="40"/>
  <c r="E30" i="81" s="1"/>
  <c r="C30" i="40"/>
  <c r="C63" i="40"/>
  <c r="C881" i="40"/>
  <c r="C880" i="40"/>
  <c r="C879" i="40"/>
  <c r="C878" i="40"/>
  <c r="C877" i="40"/>
  <c r="C876" i="40"/>
  <c r="C875" i="40"/>
  <c r="C874" i="40"/>
  <c r="C873" i="40"/>
  <c r="C872" i="40"/>
  <c r="C295" i="40"/>
  <c r="C308" i="40"/>
  <c r="C368" i="40"/>
  <c r="C409" i="40"/>
  <c r="C201" i="40"/>
  <c r="C214" i="40"/>
  <c r="C871" i="40"/>
  <c r="C870" i="40"/>
  <c r="C567" i="40"/>
  <c r="C869" i="40"/>
  <c r="C868" i="40"/>
  <c r="C867" i="40"/>
  <c r="C866" i="40"/>
  <c r="C865" i="40"/>
  <c r="C417" i="40"/>
  <c r="C864" i="40"/>
  <c r="C863" i="40"/>
  <c r="C862" i="40"/>
  <c r="C861" i="40"/>
  <c r="C860" i="40"/>
  <c r="C859" i="40"/>
  <c r="C425" i="40"/>
  <c r="C858" i="40"/>
  <c r="C857" i="40"/>
  <c r="C856" i="40"/>
  <c r="C855" i="40"/>
  <c r="C854" i="40"/>
  <c r="D29" i="57" s="1"/>
  <c r="E29" i="57" s="1"/>
  <c r="C853" i="40"/>
  <c r="C85" i="40"/>
  <c r="D28" i="57" s="1"/>
  <c r="E28" i="57" s="1"/>
  <c r="C852" i="40"/>
  <c r="C49" i="40"/>
  <c r="D27" i="57" s="1"/>
  <c r="E27" i="57" s="1"/>
  <c r="C851" i="40"/>
  <c r="C182" i="40"/>
  <c r="C627" i="40"/>
  <c r="C514" i="40"/>
  <c r="D15" i="57" s="1"/>
  <c r="E15" i="57" s="1"/>
  <c r="C527" i="40"/>
  <c r="C450" i="40"/>
  <c r="D14" i="57" s="1"/>
  <c r="E14" i="57" s="1"/>
  <c r="C464" i="40"/>
  <c r="C364" i="40"/>
  <c r="D13" i="57" s="1"/>
  <c r="E13" i="57" s="1"/>
  <c r="C377" i="40"/>
  <c r="C10" i="40"/>
  <c r="E47" i="51" s="1"/>
  <c r="F47" i="51" s="1"/>
  <c r="G47" i="51" s="1"/>
  <c r="C11" i="40"/>
  <c r="C332" i="40"/>
  <c r="C353" i="40"/>
  <c r="C232" i="40"/>
  <c r="C272" i="40"/>
  <c r="C137" i="40"/>
  <c r="C162" i="40"/>
  <c r="C194" i="40"/>
  <c r="C229" i="40"/>
  <c r="C107" i="40"/>
  <c r="C436" i="40"/>
  <c r="C463" i="40"/>
  <c r="C95" i="40"/>
  <c r="C586" i="40"/>
  <c r="C598" i="40"/>
  <c r="C499" i="40"/>
  <c r="C524" i="40"/>
  <c r="C421" i="40"/>
  <c r="C445" i="40"/>
  <c r="C321" i="40"/>
  <c r="C344" i="40"/>
  <c r="C372" i="40"/>
  <c r="C412" i="40"/>
  <c r="C219" i="40"/>
  <c r="C265" i="40"/>
  <c r="C153" i="40"/>
  <c r="C397" i="40"/>
  <c r="C385" i="40"/>
  <c r="C408" i="40"/>
  <c r="C482" i="40"/>
  <c r="E33" i="74" s="1"/>
  <c r="C505" i="40"/>
  <c r="C302" i="40"/>
  <c r="C850" i="40"/>
  <c r="C849" i="40"/>
  <c r="C481" i="40"/>
  <c r="E33" i="37" s="1"/>
  <c r="C504" i="40"/>
  <c r="C101" i="40"/>
  <c r="C69" i="40"/>
  <c r="C100" i="40"/>
  <c r="C114" i="40"/>
  <c r="C145" i="40"/>
  <c r="C77" i="40"/>
  <c r="C38" i="40"/>
  <c r="C342" i="40"/>
  <c r="C360" i="40"/>
  <c r="C44" i="40"/>
  <c r="C58" i="40"/>
  <c r="C127" i="40"/>
  <c r="C133" i="40"/>
  <c r="C152" i="40"/>
  <c r="C264" i="40"/>
  <c r="C263" i="40"/>
  <c r="C268" i="40"/>
  <c r="C96" i="40"/>
  <c r="C675" i="40"/>
  <c r="C330" i="40"/>
  <c r="C418" i="40"/>
  <c r="C848" i="40"/>
  <c r="C7" i="40"/>
  <c r="C462" i="40"/>
  <c r="C503" i="40"/>
  <c r="C271" i="40"/>
  <c r="C847" i="40"/>
  <c r="C227" i="40"/>
  <c r="C267" i="40"/>
  <c r="C215" i="40"/>
  <c r="C170" i="40"/>
  <c r="C537" i="40"/>
  <c r="E47" i="72" s="1"/>
  <c r="F47" i="72" s="1"/>
  <c r="C550" i="40"/>
  <c r="C496" i="40"/>
  <c r="C480" i="40"/>
  <c r="C522" i="40"/>
  <c r="C846" i="40"/>
  <c r="C572" i="40"/>
  <c r="C172" i="40"/>
  <c r="C171" i="40"/>
  <c r="E46" i="72" s="1"/>
  <c r="F46" i="72" s="1"/>
  <c r="C224" i="40"/>
  <c r="E45" i="72" s="1"/>
  <c r="F45" i="72" s="1"/>
  <c r="C500" i="40"/>
  <c r="C545" i="40"/>
  <c r="C48" i="40"/>
  <c r="C479" i="40"/>
  <c r="C168" i="40"/>
  <c r="C212" i="40"/>
  <c r="C615" i="40"/>
  <c r="C544" i="40"/>
  <c r="C659" i="40"/>
  <c r="C491" i="40"/>
  <c r="C533" i="40"/>
  <c r="C316" i="40"/>
  <c r="C315" i="40"/>
  <c r="C128" i="40"/>
  <c r="D37" i="57" s="1"/>
  <c r="E37" i="57" s="1"/>
  <c r="C144" i="40"/>
  <c r="D36" i="57" s="1"/>
  <c r="E36" i="57" s="1"/>
  <c r="C211" i="40"/>
  <c r="C262" i="40"/>
  <c r="C290" i="40"/>
  <c r="C50" i="40"/>
  <c r="D34" i="57" s="1"/>
  <c r="E34" i="57" s="1"/>
  <c r="C65" i="40"/>
  <c r="D33" i="57" s="1"/>
  <c r="E33" i="57" s="1"/>
  <c r="C93" i="40"/>
  <c r="C367" i="40"/>
  <c r="C366" i="40"/>
  <c r="C386" i="40"/>
  <c r="C365" i="40"/>
  <c r="C383" i="40"/>
  <c r="C845" i="40"/>
  <c r="C54" i="40"/>
  <c r="C126" i="40"/>
  <c r="C37" i="40"/>
  <c r="C92" i="40"/>
  <c r="C82" i="40"/>
  <c r="C26" i="40"/>
  <c r="C52" i="40"/>
  <c r="C47" i="40"/>
  <c r="C12" i="40"/>
  <c r="C617" i="40"/>
  <c r="C581" i="40"/>
  <c r="C594" i="40"/>
  <c r="C540" i="40"/>
  <c r="C565" i="40"/>
  <c r="C444" i="40"/>
  <c r="C477" i="40"/>
  <c r="C347" i="40"/>
  <c r="C422" i="40"/>
  <c r="E51" i="74" s="1"/>
  <c r="F51" i="74" s="1"/>
  <c r="C443" i="40"/>
  <c r="C327" i="40"/>
  <c r="E50" i="74" s="1"/>
  <c r="F50" i="74" s="1"/>
  <c r="C359" i="40"/>
  <c r="C259" i="40"/>
  <c r="E50" i="37" s="1"/>
  <c r="F50" i="37" s="1"/>
  <c r="C298" i="40"/>
  <c r="C143" i="40"/>
  <c r="E48" i="74" s="1"/>
  <c r="F48" i="74" s="1"/>
  <c r="C180" i="40"/>
  <c r="C654" i="40"/>
  <c r="C630" i="40"/>
  <c r="C640" i="40"/>
  <c r="C601" i="40"/>
  <c r="C620" i="40"/>
  <c r="C546" i="40"/>
  <c r="C563" i="40"/>
  <c r="C441" i="40"/>
  <c r="C676" i="40"/>
  <c r="E66" i="37" s="1"/>
  <c r="F66" i="37" s="1"/>
  <c r="C674" i="40"/>
  <c r="E63" i="37" s="1"/>
  <c r="F63" i="37" s="1"/>
  <c r="C608" i="40"/>
  <c r="E67" i="37" s="1"/>
  <c r="F67" i="37" s="1"/>
  <c r="C556" i="40"/>
  <c r="E64" i="37" s="1"/>
  <c r="F64" i="37" s="1"/>
  <c r="C584" i="40"/>
  <c r="C520" i="40"/>
  <c r="C547" i="40"/>
  <c r="C471" i="40"/>
  <c r="C91" i="40"/>
  <c r="C651" i="40"/>
  <c r="C621" i="40"/>
  <c r="C634" i="40"/>
  <c r="C596" i="40"/>
  <c r="C613" i="40"/>
  <c r="C529" i="40"/>
  <c r="C555" i="40"/>
  <c r="C432" i="40"/>
  <c r="C178" i="40"/>
  <c r="C164" i="40"/>
  <c r="E30" i="74" s="1"/>
  <c r="C177" i="40"/>
  <c r="E30" i="37" s="1"/>
  <c r="C541" i="40"/>
  <c r="C552" i="40"/>
  <c r="C501" i="40"/>
  <c r="C523" i="40"/>
  <c r="C188" i="40"/>
  <c r="E31" i="54" s="1"/>
  <c r="C844" i="40"/>
  <c r="C843" i="40"/>
  <c r="C842" i="40"/>
  <c r="C336" i="40"/>
  <c r="C335" i="40"/>
  <c r="C841" i="40"/>
  <c r="C334" i="40"/>
  <c r="C283" i="40"/>
  <c r="C840" i="40"/>
  <c r="C839" i="40"/>
  <c r="C208" i="40"/>
  <c r="C222" i="40"/>
  <c r="C838" i="40"/>
  <c r="C221" i="40"/>
  <c r="C176" i="40"/>
  <c r="C837" i="40"/>
  <c r="C836" i="40"/>
  <c r="C148" i="40"/>
  <c r="C147" i="40"/>
  <c r="C835" i="40"/>
  <c r="C146" i="40"/>
  <c r="C117" i="40"/>
  <c r="C834" i="40"/>
  <c r="C833" i="40"/>
  <c r="C98" i="40"/>
  <c r="C104" i="40"/>
  <c r="C832" i="40"/>
  <c r="C103" i="40"/>
  <c r="C78" i="40"/>
  <c r="C831" i="40"/>
  <c r="C830" i="40"/>
  <c r="C61" i="40"/>
  <c r="C60" i="40"/>
  <c r="C829" i="40"/>
  <c r="C59" i="40"/>
  <c r="C46" i="40"/>
  <c r="C828" i="40"/>
  <c r="C827" i="40"/>
  <c r="C826" i="40"/>
  <c r="C825" i="40"/>
  <c r="C824" i="40"/>
  <c r="C823" i="40"/>
  <c r="C822" i="40"/>
  <c r="C819" i="40"/>
  <c r="C818" i="40"/>
  <c r="C817" i="40"/>
  <c r="C816" i="40"/>
  <c r="C815" i="40"/>
  <c r="C814" i="40"/>
  <c r="C813" i="40"/>
  <c r="C278" i="40"/>
  <c r="C306" i="40"/>
  <c r="C228" i="40"/>
  <c r="C266" i="40"/>
  <c r="C105" i="40"/>
  <c r="D23" i="57" s="1"/>
  <c r="E23" i="57" s="1"/>
  <c r="C210" i="40"/>
  <c r="E55" i="18" s="1"/>
  <c r="F55" i="18" s="1"/>
  <c r="C470" i="40"/>
  <c r="C486" i="40"/>
  <c r="C396" i="40"/>
  <c r="C384" i="40"/>
  <c r="C407" i="40"/>
  <c r="C433" i="40"/>
  <c r="C633" i="40"/>
  <c r="C606" i="40"/>
  <c r="C442" i="40"/>
  <c r="C343" i="40"/>
  <c r="C22" i="40"/>
  <c r="C25" i="40"/>
  <c r="C812" i="40"/>
  <c r="C811" i="40"/>
  <c r="C810" i="40"/>
  <c r="C809" i="40"/>
  <c r="C808" i="40"/>
  <c r="C35" i="40"/>
  <c r="E33" i="78" s="1"/>
  <c r="C41" i="40"/>
  <c r="E29" i="80" s="1"/>
  <c r="C807" i="40"/>
  <c r="E34" i="51" s="1"/>
  <c r="C40" i="40"/>
  <c r="E33" i="55" s="1"/>
  <c r="C806" i="40"/>
  <c r="C805" i="40"/>
  <c r="C804" i="40"/>
  <c r="C803" i="40"/>
  <c r="C802" i="40"/>
  <c r="C801" i="40"/>
  <c r="C800" i="40"/>
  <c r="C799" i="40"/>
  <c r="C798" i="40"/>
  <c r="C797" i="40"/>
  <c r="C796" i="40"/>
  <c r="C161" i="40"/>
  <c r="C795" i="40"/>
  <c r="C200" i="40"/>
  <c r="C794" i="40"/>
  <c r="C106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141" i="40"/>
  <c r="C778" i="40"/>
  <c r="C777" i="40"/>
  <c r="C776" i="40"/>
  <c r="C775" i="40"/>
  <c r="C774" i="40"/>
  <c r="C773" i="40"/>
  <c r="C414" i="40"/>
  <c r="C772" i="40"/>
  <c r="C427" i="40"/>
  <c r="C526" i="40"/>
  <c r="C566" i="40"/>
  <c r="C591" i="40"/>
  <c r="C423" i="40"/>
  <c r="C474" i="40"/>
  <c r="C512" i="40"/>
  <c r="C346" i="40"/>
  <c r="C394" i="40"/>
  <c r="C429" i="40"/>
  <c r="C276" i="40"/>
  <c r="C331" i="40"/>
  <c r="C363" i="40"/>
  <c r="C174" i="40"/>
  <c r="C220" i="40"/>
  <c r="C273" i="40"/>
  <c r="C624" i="40"/>
  <c r="C603" i="40"/>
  <c r="C771" i="40"/>
  <c r="C770" i="40"/>
  <c r="C631" i="40"/>
  <c r="C769" i="40"/>
  <c r="C768" i="40"/>
  <c r="C575" i="40"/>
  <c r="C535" i="40"/>
  <c r="C767" i="40"/>
  <c r="C766" i="40"/>
  <c r="C574" i="40"/>
  <c r="C765" i="40"/>
  <c r="C764" i="40"/>
  <c r="C508" i="40"/>
  <c r="C455" i="40"/>
  <c r="C763" i="40"/>
  <c r="C762" i="40"/>
  <c r="C507" i="40"/>
  <c r="C761" i="40"/>
  <c r="C760" i="40"/>
  <c r="C439" i="40"/>
  <c r="C392" i="40"/>
  <c r="C759" i="40"/>
  <c r="C758" i="40"/>
  <c r="C438" i="40"/>
  <c r="C757" i="40"/>
  <c r="C756" i="40"/>
  <c r="C345" i="40"/>
  <c r="C307" i="40"/>
  <c r="C755" i="40"/>
  <c r="C754" i="40"/>
  <c r="C355" i="40"/>
  <c r="C753" i="40"/>
  <c r="C752" i="40"/>
  <c r="C595" i="40"/>
  <c r="C585" i="40"/>
  <c r="C548" i="40"/>
  <c r="C534" i="40"/>
  <c r="C140" i="40"/>
  <c r="E31" i="7" s="1"/>
  <c r="C374" i="40"/>
  <c r="C351" i="40"/>
  <c r="C478" i="40"/>
  <c r="C751" i="40"/>
  <c r="C373" i="40"/>
  <c r="C750" i="40"/>
  <c r="C74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362" i="40"/>
  <c r="C245" i="40"/>
  <c r="C244" i="40"/>
  <c r="C243" i="40"/>
  <c r="C242" i="40"/>
  <c r="C241" i="40"/>
  <c r="C240" i="40"/>
  <c r="C361" i="40"/>
  <c r="C239" i="40"/>
  <c r="C238" i="40"/>
  <c r="C237" i="40"/>
  <c r="C158" i="40"/>
  <c r="C125" i="40"/>
  <c r="C166" i="40"/>
  <c r="C748" i="40"/>
  <c r="C116" i="40"/>
  <c r="C157" i="40"/>
  <c r="C747" i="40"/>
  <c r="E28" i="34" s="1"/>
  <c r="C111" i="40"/>
  <c r="C746" i="40"/>
  <c r="C84" i="40"/>
  <c r="C102" i="40"/>
  <c r="C131" i="40"/>
  <c r="C21" i="40"/>
  <c r="C280" i="40"/>
  <c r="C279" i="40"/>
  <c r="C136" i="40"/>
  <c r="C135" i="40"/>
  <c r="C74" i="40"/>
  <c r="C73" i="40"/>
  <c r="C745" i="40"/>
  <c r="C225" i="40"/>
  <c r="C205" i="40"/>
  <c r="C744" i="40"/>
  <c r="C743" i="40"/>
  <c r="C382" i="40"/>
  <c r="C395" i="40"/>
  <c r="C742" i="40"/>
  <c r="C741" i="40"/>
  <c r="C209" i="40"/>
  <c r="C740" i="40"/>
  <c r="C218" i="40"/>
  <c r="C193" i="40"/>
  <c r="C231" i="40"/>
  <c r="C179" i="40"/>
  <c r="C217" i="40"/>
  <c r="C159" i="40"/>
  <c r="C467" i="40"/>
  <c r="C509" i="40"/>
  <c r="C511" i="40"/>
  <c r="C645" i="40"/>
  <c r="C156" i="40"/>
  <c r="C189" i="40"/>
  <c r="C155" i="40"/>
  <c r="C288" i="40"/>
  <c r="C314" i="40"/>
  <c r="C549" i="40"/>
  <c r="C739" i="40"/>
  <c r="C738" i="40"/>
  <c r="C737" i="40"/>
  <c r="C559" i="40"/>
  <c r="C736" i="40"/>
  <c r="C578" i="40"/>
  <c r="C448" i="40"/>
  <c r="C735" i="40"/>
  <c r="C734" i="40"/>
  <c r="C733" i="40"/>
  <c r="C457" i="40"/>
  <c r="C732" i="40"/>
  <c r="C731" i="40"/>
  <c r="C370" i="40"/>
  <c r="C730" i="40"/>
  <c r="C729" i="40"/>
  <c r="C309" i="40"/>
  <c r="C724" i="40"/>
  <c r="C722" i="40"/>
  <c r="C313" i="40"/>
  <c r="C721" i="40"/>
  <c r="C719" i="40"/>
  <c r="C718" i="40"/>
  <c r="C717" i="40"/>
  <c r="C716" i="40"/>
  <c r="C715" i="40"/>
  <c r="C714" i="40"/>
  <c r="C713" i="40"/>
  <c r="C543" i="40"/>
  <c r="C614" i="40"/>
  <c r="C625" i="40"/>
  <c r="C570" i="40"/>
  <c r="C554" i="40"/>
  <c r="C569" i="40"/>
  <c r="C494" i="40"/>
  <c r="C502" i="40"/>
  <c r="C419" i="40"/>
  <c r="C435" i="40"/>
  <c r="C341" i="40"/>
  <c r="C348" i="40"/>
  <c r="C379" i="40"/>
  <c r="C406" i="40"/>
  <c r="C269" i="40"/>
  <c r="C303" i="40"/>
  <c r="C192" i="40"/>
  <c r="C202" i="40"/>
  <c r="C132" i="40"/>
  <c r="C139" i="40"/>
  <c r="C86" i="40"/>
  <c r="C94" i="40"/>
  <c r="C712" i="40"/>
  <c r="C711" i="40"/>
  <c r="E44" i="80" s="1"/>
  <c r="F44" i="80" s="1"/>
  <c r="C710" i="40"/>
  <c r="C709" i="40"/>
  <c r="C708" i="40"/>
  <c r="E30" i="58" s="1"/>
  <c r="C707" i="40"/>
  <c r="C706" i="40"/>
  <c r="C705" i="40"/>
  <c r="C9" i="40"/>
  <c r="C704" i="40"/>
  <c r="E30" i="70" s="1"/>
  <c r="C703" i="40"/>
  <c r="E58" i="8" s="1"/>
  <c r="F58" i="8" s="1"/>
  <c r="G58" i="8" s="1"/>
  <c r="C702" i="40"/>
  <c r="C701" i="40"/>
  <c r="C75" i="40"/>
  <c r="C551" i="40"/>
  <c r="C473" i="40"/>
  <c r="C325" i="40"/>
  <c r="C324" i="40"/>
  <c r="C138" i="40"/>
  <c r="E28" i="58" s="1"/>
  <c r="C672" i="40"/>
  <c r="C669" i="40"/>
  <c r="C647" i="40"/>
  <c r="C655" i="40"/>
  <c r="C622" i="40"/>
  <c r="C628" i="40"/>
  <c r="C589" i="40"/>
  <c r="C597" i="40"/>
  <c r="C525" i="40"/>
  <c r="C538" i="40"/>
  <c r="C485" i="40"/>
  <c r="C465" i="40"/>
  <c r="C447" i="40"/>
  <c r="C484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14" i="40"/>
  <c r="D24" i="57" s="1"/>
  <c r="E24" i="57" s="1"/>
  <c r="C468" i="40"/>
  <c r="C483" i="40"/>
  <c r="C354" i="40"/>
  <c r="C381" i="40"/>
  <c r="C275" i="40"/>
  <c r="C305" i="40"/>
  <c r="C163" i="40"/>
  <c r="C185" i="40"/>
  <c r="C203" i="40"/>
  <c r="C226" i="40"/>
  <c r="C110" i="40"/>
  <c r="C118" i="40"/>
  <c r="C391" i="40"/>
  <c r="C413" i="40"/>
  <c r="C277" i="40"/>
  <c r="C304" i="40"/>
  <c r="C187" i="40"/>
  <c r="C207" i="40"/>
  <c r="C109" i="40"/>
  <c r="C121" i="40"/>
  <c r="C142" i="40"/>
  <c r="C167" i="40"/>
  <c r="C68" i="40"/>
  <c r="C83" i="40"/>
  <c r="C604" i="40"/>
  <c r="C610" i="40"/>
  <c r="C532" i="40"/>
  <c r="C558" i="40"/>
  <c r="C458" i="40"/>
  <c r="C489" i="40"/>
  <c r="C352" i="40"/>
  <c r="C378" i="40"/>
  <c r="C399" i="40"/>
  <c r="C420" i="40"/>
  <c r="C270" i="40"/>
  <c r="C293" i="40"/>
  <c r="C662" i="40"/>
  <c r="C605" i="40"/>
  <c r="C122" i="40"/>
  <c r="C149" i="40"/>
  <c r="C115" i="40"/>
  <c r="C333" i="40"/>
  <c r="C297" i="40"/>
  <c r="C326" i="40"/>
  <c r="C403" i="40"/>
  <c r="C688" i="40"/>
  <c r="C76" i="40"/>
  <c r="E29" i="20" s="1"/>
  <c r="C687" i="40"/>
  <c r="C13" i="40"/>
  <c r="C16" i="40"/>
  <c r="C686" i="40"/>
  <c r="C685" i="40"/>
  <c r="C684" i="40"/>
  <c r="C683" i="40"/>
  <c r="C682" i="40"/>
  <c r="C681" i="40"/>
  <c r="D47" i="57" s="1"/>
  <c r="E47" i="57" s="1"/>
  <c r="C680" i="40"/>
  <c r="D46" i="57" s="1"/>
  <c r="E46" i="57" s="1"/>
  <c r="C679" i="40"/>
  <c r="D45" i="57" s="1"/>
  <c r="E45" i="57" s="1"/>
  <c r="C678" i="40"/>
  <c r="D44" i="57" s="1"/>
  <c r="E44" i="57" s="1"/>
  <c r="C677" i="40"/>
  <c r="D43" i="57" s="1"/>
  <c r="E43" i="57" s="1"/>
  <c r="B677" i="40"/>
  <c r="B43" i="57" s="1"/>
  <c r="B2" i="40"/>
  <c r="A54" i="47"/>
  <c r="A58" i="81"/>
  <c r="A58" i="80"/>
  <c r="A13" i="78"/>
  <c r="A13" i="53"/>
  <c r="A61" i="72"/>
  <c r="D31" i="58"/>
  <c r="O8" i="70"/>
  <c r="K24" i="7"/>
  <c r="L26" i="5"/>
  <c r="L26" i="71"/>
  <c r="L26" i="30"/>
  <c r="L26" i="3"/>
  <c r="A65" i="4"/>
  <c r="R8" i="6"/>
  <c r="C8" i="6"/>
  <c r="C9" i="6" s="1"/>
  <c r="B12" i="7"/>
  <c r="D34" i="7" s="1"/>
  <c r="B8" i="7"/>
  <c r="B9" i="7"/>
  <c r="D59" i="7" s="1"/>
  <c r="A68" i="78"/>
  <c r="C8" i="71"/>
  <c r="C9" i="71" s="1"/>
  <c r="C13" i="71" s="1"/>
  <c r="B24" i="19"/>
  <c r="B27" i="6"/>
  <c r="B8" i="71"/>
  <c r="B8" i="54"/>
  <c r="B9" i="54" s="1"/>
  <c r="B10" i="18"/>
  <c r="B24" i="70"/>
  <c r="B24" i="17"/>
  <c r="B24" i="20"/>
  <c r="B24" i="33"/>
  <c r="B23" i="44"/>
  <c r="B10" i="61"/>
  <c r="D31" i="61"/>
  <c r="B11" i="61"/>
  <c r="B9" i="61"/>
  <c r="B10" i="19"/>
  <c r="B9" i="19"/>
  <c r="B11" i="19"/>
  <c r="D31" i="19" s="1"/>
  <c r="L26" i="6"/>
  <c r="K28" i="53"/>
  <c r="K28" i="55"/>
  <c r="B10" i="74"/>
  <c r="D33" i="74" s="1"/>
  <c r="B8" i="72"/>
  <c r="B9" i="46"/>
  <c r="B11" i="46"/>
  <c r="D30" i="46" s="1"/>
  <c r="B10" i="46"/>
  <c r="B11" i="34"/>
  <c r="D31" i="34"/>
  <c r="B10" i="34"/>
  <c r="B9" i="34"/>
  <c r="B10" i="37"/>
  <c r="D33" i="37" s="1"/>
  <c r="J33" i="37" s="1"/>
  <c r="B8" i="58"/>
  <c r="A57" i="46"/>
  <c r="A60" i="44"/>
  <c r="A61" i="70"/>
  <c r="A64" i="17"/>
  <c r="A63" i="8"/>
  <c r="A71" i="37"/>
  <c r="A70" i="7"/>
  <c r="A68" i="3"/>
  <c r="A62" i="34"/>
  <c r="A67" i="55"/>
  <c r="A62" i="61"/>
  <c r="A62" i="19"/>
  <c r="A69" i="53"/>
  <c r="A68" i="5"/>
  <c r="A70" i="31"/>
  <c r="A64" i="72"/>
  <c r="A61" i="20"/>
  <c r="A69" i="71"/>
  <c r="A62" i="62"/>
  <c r="A59" i="48"/>
  <c r="A62" i="18"/>
  <c r="A62" i="56"/>
  <c r="A71" i="51"/>
  <c r="A68" i="6"/>
  <c r="A69" i="30"/>
  <c r="A69" i="54"/>
  <c r="A61" i="58"/>
  <c r="A61" i="33"/>
  <c r="A63" i="74"/>
  <c r="A68" i="4"/>
  <c r="K27" i="72"/>
  <c r="K27" i="55"/>
  <c r="C9" i="61"/>
  <c r="C10" i="61" s="1"/>
  <c r="C9" i="62"/>
  <c r="C10" i="62" s="1"/>
  <c r="C9" i="46"/>
  <c r="C10" i="46" s="1"/>
  <c r="C9" i="34"/>
  <c r="C10" i="34"/>
  <c r="C9" i="19"/>
  <c r="C10" i="19" s="1"/>
  <c r="C9" i="8"/>
  <c r="C10" i="8" s="1"/>
  <c r="C11" i="37"/>
  <c r="C9" i="37"/>
  <c r="K26" i="53"/>
  <c r="K27" i="51"/>
  <c r="K28" i="51"/>
  <c r="C10" i="55"/>
  <c r="K25" i="7"/>
  <c r="K26" i="7"/>
  <c r="C9" i="7"/>
  <c r="K12" i="7"/>
  <c r="L12" i="7" s="1"/>
  <c r="K13" i="7"/>
  <c r="K9" i="7"/>
  <c r="K11" i="7" s="1"/>
  <c r="Q8" i="7"/>
  <c r="R8" i="7" s="1"/>
  <c r="K26" i="54"/>
  <c r="K25" i="54"/>
  <c r="C10" i="54"/>
  <c r="K13" i="54" s="1"/>
  <c r="C10" i="5"/>
  <c r="L13" i="5" s="1"/>
  <c r="L25" i="5"/>
  <c r="L24" i="5"/>
  <c r="L12" i="6"/>
  <c r="M12" i="6" s="1"/>
  <c r="R8" i="30"/>
  <c r="L13" i="30"/>
  <c r="L9" i="30"/>
  <c r="L11" i="30"/>
  <c r="O7" i="30" s="1"/>
  <c r="O8" i="30" s="1"/>
  <c r="L12" i="30"/>
  <c r="M12" i="30" s="1"/>
  <c r="N12" i="30" s="1"/>
  <c r="C8" i="30"/>
  <c r="C9" i="30"/>
  <c r="L25" i="30"/>
  <c r="L24" i="30"/>
  <c r="L25" i="4"/>
  <c r="B9" i="4"/>
  <c r="B12" i="3"/>
  <c r="D34" i="3" s="1"/>
  <c r="L25" i="3"/>
  <c r="L24" i="3"/>
  <c r="K43" i="6"/>
  <c r="J43" i="54"/>
  <c r="K35" i="56"/>
  <c r="B9" i="71"/>
  <c r="L9" i="6"/>
  <c r="L11" i="6" s="1"/>
  <c r="O7" i="6" s="1"/>
  <c r="O8" i="6" s="1"/>
  <c r="L13" i="6"/>
  <c r="B12" i="34"/>
  <c r="B12" i="19"/>
  <c r="B12" i="46"/>
  <c r="B6" i="37"/>
  <c r="B6" i="31"/>
  <c r="B6" i="8"/>
  <c r="B6" i="55"/>
  <c r="B6" i="6"/>
  <c r="A12" i="61"/>
  <c r="B6" i="7"/>
  <c r="B6" i="54"/>
  <c r="B6" i="5"/>
  <c r="B6" i="46"/>
  <c r="B6" i="56"/>
  <c r="K13" i="55"/>
  <c r="K9" i="55"/>
  <c r="K11" i="55" s="1"/>
  <c r="K12" i="55"/>
  <c r="L12" i="55" s="1"/>
  <c r="M12" i="55" s="1"/>
  <c r="Q8" i="55"/>
  <c r="K37" i="55"/>
  <c r="Q9" i="7"/>
  <c r="Q10" i="7" s="1"/>
  <c r="Q11" i="7" s="1"/>
  <c r="Q12" i="7" s="1"/>
  <c r="Q13" i="7" s="1"/>
  <c r="Q14" i="7" s="1"/>
  <c r="T8" i="7"/>
  <c r="Q23" i="7" s="1"/>
  <c r="R23" i="7" s="1"/>
  <c r="U23" i="7" s="1"/>
  <c r="N7" i="7"/>
  <c r="N8" i="7" s="1"/>
  <c r="L9" i="5"/>
  <c r="L11" i="5" s="1"/>
  <c r="O10" i="5" s="1"/>
  <c r="O11" i="5" s="1"/>
  <c r="S8" i="6"/>
  <c r="R9" i="6"/>
  <c r="R10" i="6" s="1"/>
  <c r="R11" i="6" s="1"/>
  <c r="R12" i="6" s="1"/>
  <c r="R13" i="6"/>
  <c r="R14" i="6" s="1"/>
  <c r="U8" i="6"/>
  <c r="T8" i="6"/>
  <c r="L13" i="71"/>
  <c r="R8" i="71"/>
  <c r="U8" i="71" s="1"/>
  <c r="B6" i="30"/>
  <c r="B6" i="4"/>
  <c r="R9" i="30"/>
  <c r="R10" i="30"/>
  <c r="R11" i="30" s="1"/>
  <c r="R12" i="30" s="1"/>
  <c r="R13" i="30" s="1"/>
  <c r="R14" i="30" s="1"/>
  <c r="U8" i="30"/>
  <c r="S8" i="30"/>
  <c r="T8" i="30"/>
  <c r="R31" i="30" s="1"/>
  <c r="K40" i="55"/>
  <c r="B12" i="8"/>
  <c r="B6" i="19"/>
  <c r="B6" i="3"/>
  <c r="S8" i="55"/>
  <c r="Q29" i="55" s="1"/>
  <c r="R8" i="55"/>
  <c r="T8" i="55"/>
  <c r="Q9" i="55"/>
  <c r="Q10" i="55" s="1"/>
  <c r="Q11" i="55" s="1"/>
  <c r="Q12" i="55" s="1"/>
  <c r="Q13" i="55" s="1"/>
  <c r="Q14" i="55" s="1"/>
  <c r="N7" i="55"/>
  <c r="N8" i="55" s="1"/>
  <c r="R22" i="6"/>
  <c r="T17" i="6"/>
  <c r="T9" i="6"/>
  <c r="R31" i="6"/>
  <c r="R27" i="6"/>
  <c r="R25" i="6"/>
  <c r="U17" i="6"/>
  <c r="U9" i="6" s="1"/>
  <c r="R23" i="6"/>
  <c r="S23" i="6" s="1"/>
  <c r="V23" i="6" s="1"/>
  <c r="R28" i="6"/>
  <c r="R21" i="6"/>
  <c r="S21" i="6" s="1"/>
  <c r="R30" i="6"/>
  <c r="R26" i="6"/>
  <c r="R24" i="6"/>
  <c r="R29" i="6"/>
  <c r="R32" i="6"/>
  <c r="S17" i="6"/>
  <c r="S9" i="6" s="1"/>
  <c r="R9" i="71"/>
  <c r="R10" i="71" s="1"/>
  <c r="R11" i="71" s="1"/>
  <c r="R12" i="71" s="1"/>
  <c r="R13" i="71" s="1"/>
  <c r="R14" i="71" s="1"/>
  <c r="T17" i="30"/>
  <c r="T9" i="30" s="1"/>
  <c r="R26" i="30"/>
  <c r="R32" i="30"/>
  <c r="R29" i="30"/>
  <c r="R21" i="30"/>
  <c r="S21" i="30" s="1"/>
  <c r="T21" i="30" s="1"/>
  <c r="S17" i="30"/>
  <c r="S9" i="30" s="1"/>
  <c r="U17" i="30"/>
  <c r="U9" i="30"/>
  <c r="R23" i="30"/>
  <c r="S23" i="30" s="1"/>
  <c r="V23" i="30" s="1"/>
  <c r="R28" i="30"/>
  <c r="M13" i="30"/>
  <c r="N5" i="5"/>
  <c r="L5" i="5"/>
  <c r="Q30" i="55"/>
  <c r="T19" i="55"/>
  <c r="T9" i="55" s="1"/>
  <c r="Q25" i="55"/>
  <c r="R25" i="55" s="1"/>
  <c r="R19" i="55"/>
  <c r="R9" i="55" s="1"/>
  <c r="Q35" i="55"/>
  <c r="Q23" i="55"/>
  <c r="R23" i="55"/>
  <c r="S23" i="55" s="1"/>
  <c r="Q28" i="55"/>
  <c r="Q31" i="55"/>
  <c r="U25" i="55"/>
  <c r="N10" i="7"/>
  <c r="N11" i="7" s="1"/>
  <c r="S22" i="6"/>
  <c r="U22" i="6" s="1"/>
  <c r="N13" i="30"/>
  <c r="N14" i="30"/>
  <c r="M14" i="30"/>
  <c r="M17" i="30"/>
  <c r="N10" i="55"/>
  <c r="N11" i="55" s="1"/>
  <c r="S24" i="6"/>
  <c r="U24" i="6" s="1"/>
  <c r="J64" i="8"/>
  <c r="N64" i="8"/>
  <c r="A64" i="8" s="1"/>
  <c r="B8" i="51"/>
  <c r="B12" i="51"/>
  <c r="D38" i="51" s="1"/>
  <c r="C9" i="18"/>
  <c r="C10" i="18" s="1"/>
  <c r="C13" i="7"/>
  <c r="B10" i="8"/>
  <c r="S26" i="30"/>
  <c r="K23" i="81" l="1"/>
  <c r="K24" i="81"/>
  <c r="K24" i="80"/>
  <c r="L24" i="6"/>
  <c r="L24" i="71"/>
  <c r="L24" i="4"/>
  <c r="K37" i="81"/>
  <c r="L38" i="85"/>
  <c r="K26" i="72"/>
  <c r="H54" i="4"/>
  <c r="H63" i="86"/>
  <c r="H56" i="86"/>
  <c r="H53" i="86"/>
  <c r="H49" i="86"/>
  <c r="H68" i="86"/>
  <c r="H66" i="86"/>
  <c r="H65" i="86"/>
  <c r="H62" i="86"/>
  <c r="H55" i="86"/>
  <c r="H47" i="86"/>
  <c r="H61" i="86"/>
  <c r="H54" i="86"/>
  <c r="H52" i="86"/>
  <c r="H48" i="86"/>
  <c r="H43" i="86"/>
  <c r="H42" i="86"/>
  <c r="H34" i="86"/>
  <c r="H29" i="86"/>
  <c r="H63" i="85"/>
  <c r="H60" i="85"/>
  <c r="H53" i="85"/>
  <c r="H50" i="86"/>
  <c r="H38" i="86"/>
  <c r="H36" i="86"/>
  <c r="H32" i="86"/>
  <c r="H31" i="86"/>
  <c r="H61" i="85"/>
  <c r="H49" i="85"/>
  <c r="H45" i="85"/>
  <c r="H42" i="85"/>
  <c r="H37" i="85"/>
  <c r="H31" i="85"/>
  <c r="H51" i="86"/>
  <c r="H45" i="86"/>
  <c r="H44" i="86"/>
  <c r="H33" i="86"/>
  <c r="H30" i="86"/>
  <c r="H28" i="86"/>
  <c r="H66" i="85"/>
  <c r="H54" i="85"/>
  <c r="H52" i="85"/>
  <c r="H51" i="85"/>
  <c r="H50" i="85"/>
  <c r="H46" i="85"/>
  <c r="H35" i="85"/>
  <c r="H37" i="86"/>
  <c r="H47" i="85"/>
  <c r="H38" i="85"/>
  <c r="H28" i="85"/>
  <c r="H46" i="86"/>
  <c r="H35" i="86"/>
  <c r="H64" i="85"/>
  <c r="H44" i="85"/>
  <c r="H30" i="85"/>
  <c r="H59" i="85"/>
  <c r="H48" i="85"/>
  <c r="H36" i="85"/>
  <c r="H29" i="85"/>
  <c r="H43" i="85"/>
  <c r="H39" i="85"/>
  <c r="H34" i="85"/>
  <c r="H33" i="85"/>
  <c r="H32" i="85"/>
  <c r="H39" i="86"/>
  <c r="E49" i="47"/>
  <c r="F49" i="47" s="1"/>
  <c r="E55" i="86"/>
  <c r="F55" i="86" s="1"/>
  <c r="G55" i="86" s="1"/>
  <c r="E32" i="3"/>
  <c r="E32" i="86"/>
  <c r="F32" i="86" s="1"/>
  <c r="G32" i="86" s="1"/>
  <c r="C31" i="30"/>
  <c r="C31" i="86"/>
  <c r="C52" i="81"/>
  <c r="C54" i="85"/>
  <c r="C56" i="86"/>
  <c r="C46" i="78"/>
  <c r="C49" i="86"/>
  <c r="C43" i="74"/>
  <c r="C46" i="86"/>
  <c r="C46" i="85"/>
  <c r="C36" i="33"/>
  <c r="C44" i="86"/>
  <c r="C44" i="85"/>
  <c r="C42" i="80"/>
  <c r="C47" i="86"/>
  <c r="C47" i="85"/>
  <c r="C61" i="85"/>
  <c r="C63" i="86"/>
  <c r="C61" i="86"/>
  <c r="C59" i="85"/>
  <c r="C35" i="6"/>
  <c r="C54" i="86"/>
  <c r="C35" i="85"/>
  <c r="C35" i="86"/>
  <c r="C53" i="85"/>
  <c r="E65" i="31"/>
  <c r="F65" i="31" s="1"/>
  <c r="G65" i="31" s="1"/>
  <c r="E65" i="86"/>
  <c r="F65" i="86" s="1"/>
  <c r="G65" i="86" s="1"/>
  <c r="E63" i="85"/>
  <c r="F63" i="85" s="1"/>
  <c r="G63" i="85" s="1"/>
  <c r="C42" i="19"/>
  <c r="C51" i="86"/>
  <c r="C50" i="85"/>
  <c r="E31" i="81"/>
  <c r="F31" i="81" s="1"/>
  <c r="G31" i="81" s="1"/>
  <c r="E33" i="85"/>
  <c r="F33" i="85" s="1"/>
  <c r="G33" i="85" s="1"/>
  <c r="C54" i="30"/>
  <c r="C55" i="86"/>
  <c r="E41" i="80"/>
  <c r="F41" i="80" s="1"/>
  <c r="E45" i="86"/>
  <c r="F45" i="86" s="1"/>
  <c r="G45" i="86" s="1"/>
  <c r="E45" i="85"/>
  <c r="F45" i="85" s="1"/>
  <c r="G45" i="85" s="1"/>
  <c r="E45" i="74"/>
  <c r="F45" i="74" s="1"/>
  <c r="E48" i="86"/>
  <c r="F48" i="86" s="1"/>
  <c r="G48" i="86" s="1"/>
  <c r="E48" i="85"/>
  <c r="F48" i="85" s="1"/>
  <c r="G48" i="85" s="1"/>
  <c r="E60" i="5"/>
  <c r="F60" i="5" s="1"/>
  <c r="G60" i="5" s="1"/>
  <c r="E62" i="86"/>
  <c r="F62" i="86" s="1"/>
  <c r="G62" i="86" s="1"/>
  <c r="E60" i="85"/>
  <c r="F60" i="85" s="1"/>
  <c r="G60" i="85" s="1"/>
  <c r="E41" i="46"/>
  <c r="F41" i="46" s="1"/>
  <c r="G41" i="46" s="1"/>
  <c r="E50" i="85"/>
  <c r="F50" i="85" s="1"/>
  <c r="G50" i="85" s="1"/>
  <c r="E51" i="86"/>
  <c r="F51" i="86" s="1"/>
  <c r="G51" i="86" s="1"/>
  <c r="B4" i="57"/>
  <c r="C65" i="86"/>
  <c r="C63" i="85"/>
  <c r="C41" i="62"/>
  <c r="C50" i="86"/>
  <c r="C49" i="85"/>
  <c r="E31" i="30"/>
  <c r="F31" i="30" s="1"/>
  <c r="G31" i="30" s="1"/>
  <c r="E31" i="86"/>
  <c r="F31" i="86" s="1"/>
  <c r="G31" i="86" s="1"/>
  <c r="A23" i="39"/>
  <c r="A5" i="77" s="1"/>
  <c r="A250" i="39"/>
  <c r="C33" i="48"/>
  <c r="C43" i="86"/>
  <c r="C36" i="46"/>
  <c r="C45" i="86"/>
  <c r="C45" i="85"/>
  <c r="C48" i="86"/>
  <c r="C48" i="85"/>
  <c r="C61" i="71"/>
  <c r="C62" i="86"/>
  <c r="C60" i="85"/>
  <c r="E41" i="61"/>
  <c r="F41" i="61" s="1"/>
  <c r="G41" i="61" s="1"/>
  <c r="E50" i="86"/>
  <c r="F50" i="86" s="1"/>
  <c r="G50" i="86" s="1"/>
  <c r="E49" i="85"/>
  <c r="F49" i="85" s="1"/>
  <c r="G49" i="85" s="1"/>
  <c r="E35" i="81"/>
  <c r="F35" i="81" s="1"/>
  <c r="E42" i="86"/>
  <c r="F42" i="86" s="1"/>
  <c r="G42" i="86" s="1"/>
  <c r="E42" i="85"/>
  <c r="F42" i="85" s="1"/>
  <c r="G42" i="85" s="1"/>
  <c r="E31" i="6"/>
  <c r="F31" i="6" s="1"/>
  <c r="G31" i="6" s="1"/>
  <c r="E31" i="85"/>
  <c r="F31" i="85" s="1"/>
  <c r="G31" i="85" s="1"/>
  <c r="E34" i="44"/>
  <c r="F34" i="44" s="1"/>
  <c r="G34" i="44" s="1"/>
  <c r="E43" i="86"/>
  <c r="F43" i="86" s="1"/>
  <c r="G43" i="86" s="1"/>
  <c r="C31" i="71"/>
  <c r="C31" i="85"/>
  <c r="C35" i="81"/>
  <c r="C42" i="86"/>
  <c r="C42" i="85"/>
  <c r="F708" i="1"/>
  <c r="E708" i="1"/>
  <c r="E53" i="6"/>
  <c r="F53" i="6" s="1"/>
  <c r="E56" i="86"/>
  <c r="F56" i="86" s="1"/>
  <c r="G56" i="86" s="1"/>
  <c r="E54" i="85"/>
  <c r="F54" i="85" s="1"/>
  <c r="G54" i="85" s="1"/>
  <c r="E44" i="54"/>
  <c r="F44" i="54" s="1"/>
  <c r="G44" i="54" s="1"/>
  <c r="E49" i="86"/>
  <c r="F49" i="86" s="1"/>
  <c r="G49" i="86" s="1"/>
  <c r="E46" i="71"/>
  <c r="F46" i="71" s="1"/>
  <c r="G46" i="71" s="1"/>
  <c r="E46" i="86"/>
  <c r="F46" i="86" s="1"/>
  <c r="G46" i="86" s="1"/>
  <c r="E46" i="85"/>
  <c r="F46" i="85" s="1"/>
  <c r="G46" i="85" s="1"/>
  <c r="E36" i="70"/>
  <c r="F36" i="70" s="1"/>
  <c r="E44" i="86"/>
  <c r="F44" i="86" s="1"/>
  <c r="G44" i="86" s="1"/>
  <c r="E44" i="85"/>
  <c r="F44" i="85" s="1"/>
  <c r="G44" i="85" s="1"/>
  <c r="E39" i="61"/>
  <c r="F39" i="61" s="1"/>
  <c r="G39" i="61" s="1"/>
  <c r="E47" i="86"/>
  <c r="F47" i="86" s="1"/>
  <c r="G47" i="86" s="1"/>
  <c r="E47" i="85"/>
  <c r="F47" i="85" s="1"/>
  <c r="G47" i="85" s="1"/>
  <c r="E61" i="6"/>
  <c r="F61" i="6" s="1"/>
  <c r="E63" i="86"/>
  <c r="F63" i="86" s="1"/>
  <c r="G63" i="86" s="1"/>
  <c r="E61" i="85"/>
  <c r="F61" i="85" s="1"/>
  <c r="G61" i="85" s="1"/>
  <c r="E59" i="6"/>
  <c r="F59" i="6" s="1"/>
  <c r="G59" i="6" s="1"/>
  <c r="E61" i="86"/>
  <c r="F61" i="86" s="1"/>
  <c r="G61" i="86" s="1"/>
  <c r="E59" i="85"/>
  <c r="F59" i="85" s="1"/>
  <c r="G59" i="85" s="1"/>
  <c r="E36" i="74"/>
  <c r="E54" i="86"/>
  <c r="F54" i="86" s="1"/>
  <c r="G54" i="86" s="1"/>
  <c r="E35" i="86"/>
  <c r="F35" i="86" s="1"/>
  <c r="G35" i="86" s="1"/>
  <c r="E53" i="85"/>
  <c r="F53" i="85" s="1"/>
  <c r="G53" i="85" s="1"/>
  <c r="E35" i="85"/>
  <c r="F35" i="85" s="1"/>
  <c r="G35" i="85" s="1"/>
  <c r="E59" i="37"/>
  <c r="F59" i="37" s="1"/>
  <c r="G59" i="37" s="1"/>
  <c r="E64" i="85"/>
  <c r="F64" i="85" s="1"/>
  <c r="G64" i="85" s="1"/>
  <c r="E66" i="86"/>
  <c r="F66" i="86" s="1"/>
  <c r="G66" i="86" s="1"/>
  <c r="C65" i="53"/>
  <c r="C64" i="85"/>
  <c r="C66" i="86"/>
  <c r="C13" i="72"/>
  <c r="R27" i="86"/>
  <c r="S27" i="86" s="1"/>
  <c r="R31" i="86"/>
  <c r="S31" i="86" s="1"/>
  <c r="U31" i="86" s="1"/>
  <c r="R22" i="86"/>
  <c r="S22" i="86" s="1"/>
  <c r="U22" i="86" s="1"/>
  <c r="R25" i="86"/>
  <c r="S25" i="86" s="1"/>
  <c r="U25" i="86" s="1"/>
  <c r="T17" i="86"/>
  <c r="T9" i="86" s="1"/>
  <c r="R23" i="86"/>
  <c r="S23" i="86" s="1"/>
  <c r="V23" i="86" s="1"/>
  <c r="U17" i="86"/>
  <c r="U9" i="86" s="1"/>
  <c r="R28" i="86"/>
  <c r="S28" i="86" s="1"/>
  <c r="V28" i="86" s="1"/>
  <c r="M13" i="86"/>
  <c r="R21" i="86"/>
  <c r="S21" i="86" s="1"/>
  <c r="T21" i="86" s="1"/>
  <c r="S17" i="86"/>
  <c r="S9" i="86" s="1"/>
  <c r="R32" i="86"/>
  <c r="S32" i="86" s="1"/>
  <c r="R30" i="86"/>
  <c r="S30" i="86" s="1"/>
  <c r="R24" i="86"/>
  <c r="S24" i="86" s="1"/>
  <c r="R29" i="86"/>
  <c r="S29" i="86" s="1"/>
  <c r="T29" i="86" s="1"/>
  <c r="R26" i="86"/>
  <c r="S26" i="86" s="1"/>
  <c r="V26" i="85"/>
  <c r="T26" i="85"/>
  <c r="V27" i="85"/>
  <c r="U27" i="85"/>
  <c r="T30" i="85"/>
  <c r="U30" i="85"/>
  <c r="N13" i="85"/>
  <c r="N14" i="85" s="1"/>
  <c r="M14" i="85"/>
  <c r="M17" i="85" s="1"/>
  <c r="U24" i="85"/>
  <c r="T24" i="85"/>
  <c r="M24" i="85" s="1"/>
  <c r="V32" i="85"/>
  <c r="M26" i="85" s="1"/>
  <c r="T32" i="85"/>
  <c r="M25" i="85"/>
  <c r="K38" i="54"/>
  <c r="L38" i="4"/>
  <c r="K38" i="7"/>
  <c r="K37" i="80"/>
  <c r="K41" i="51"/>
  <c r="K41" i="53"/>
  <c r="K41" i="78"/>
  <c r="B11" i="8"/>
  <c r="D32" i="8" s="1"/>
  <c r="C9" i="72"/>
  <c r="N12" i="72" s="1"/>
  <c r="O12" i="72" s="1"/>
  <c r="E667" i="1"/>
  <c r="F667" i="1"/>
  <c r="E726" i="1"/>
  <c r="F726" i="1"/>
  <c r="E666" i="1"/>
  <c r="F666" i="1"/>
  <c r="E727" i="1"/>
  <c r="F727" i="1"/>
  <c r="F714" i="1"/>
  <c r="E714" i="1"/>
  <c r="J32" i="4"/>
  <c r="J30" i="8"/>
  <c r="E538" i="1"/>
  <c r="F538" i="1"/>
  <c r="F15" i="1"/>
  <c r="J14" i="1"/>
  <c r="J18" i="1"/>
  <c r="L25" i="31"/>
  <c r="L24" i="31"/>
  <c r="F7" i="1"/>
  <c r="E507" i="1"/>
  <c r="F543" i="1"/>
  <c r="E11" i="1"/>
  <c r="E16" i="1"/>
  <c r="E506" i="1"/>
  <c r="F47" i="1"/>
  <c r="F39" i="1"/>
  <c r="F150" i="1"/>
  <c r="E131" i="1"/>
  <c r="E120" i="1"/>
  <c r="E489" i="1"/>
  <c r="F139" i="1"/>
  <c r="G145" i="1"/>
  <c r="E382" i="1"/>
  <c r="E337" i="1"/>
  <c r="E669" i="1"/>
  <c r="F659" i="1"/>
  <c r="E639" i="1"/>
  <c r="E104" i="1"/>
  <c r="E112" i="1"/>
  <c r="E51" i="1"/>
  <c r="F593" i="1"/>
  <c r="F400" i="1"/>
  <c r="E113" i="1"/>
  <c r="F478" i="1"/>
  <c r="E543" i="1"/>
  <c r="E114" i="1"/>
  <c r="E102" i="1"/>
  <c r="F110" i="1"/>
  <c r="E49" i="1"/>
  <c r="G150" i="1"/>
  <c r="F553" i="1"/>
  <c r="E512" i="1"/>
  <c r="F656" i="1"/>
  <c r="F107" i="1"/>
  <c r="E101" i="1"/>
  <c r="E284" i="1"/>
  <c r="E564" i="1"/>
  <c r="E559" i="1"/>
  <c r="E146" i="1"/>
  <c r="G273" i="1"/>
  <c r="F123" i="1"/>
  <c r="E143" i="1"/>
  <c r="E553" i="1"/>
  <c r="F403" i="1"/>
  <c r="E53" i="1"/>
  <c r="F41" i="1"/>
  <c r="F133" i="1"/>
  <c r="F54" i="1"/>
  <c r="E256" i="1"/>
  <c r="F260" i="1"/>
  <c r="F392" i="1"/>
  <c r="G54" i="1"/>
  <c r="E314" i="1"/>
  <c r="E529" i="1"/>
  <c r="E70" i="1"/>
  <c r="F486" i="1"/>
  <c r="E323" i="1"/>
  <c r="F209" i="1"/>
  <c r="F187" i="1"/>
  <c r="G256" i="1"/>
  <c r="E526" i="1"/>
  <c r="E142" i="1"/>
  <c r="E134" i="1"/>
  <c r="E260" i="1"/>
  <c r="E118" i="1"/>
  <c r="E14" i="1"/>
  <c r="E145" i="1"/>
  <c r="E73" i="1"/>
  <c r="E535" i="1"/>
  <c r="E117" i="1"/>
  <c r="F183" i="1"/>
  <c r="E196" i="1"/>
  <c r="E27" i="1"/>
  <c r="E244" i="1"/>
  <c r="F517" i="1"/>
  <c r="E510" i="1"/>
  <c r="F152" i="1"/>
  <c r="E149" i="1"/>
  <c r="F151" i="1"/>
  <c r="G125" i="1"/>
  <c r="F314" i="1"/>
  <c r="F539" i="1"/>
  <c r="G64" i="1"/>
  <c r="F65" i="1"/>
  <c r="E482" i="1"/>
  <c r="E389" i="1"/>
  <c r="F463" i="1"/>
  <c r="E28" i="1"/>
  <c r="E72" i="1"/>
  <c r="F389" i="1"/>
  <c r="E404" i="1"/>
  <c r="E587" i="1"/>
  <c r="E159" i="1"/>
  <c r="E69" i="1"/>
  <c r="G525" i="1"/>
  <c r="E286" i="1"/>
  <c r="E400" i="1"/>
  <c r="E125" i="1"/>
  <c r="E420" i="1"/>
  <c r="F301" i="1"/>
  <c r="E48" i="1"/>
  <c r="E40" i="1"/>
  <c r="F33" i="1"/>
  <c r="E10" i="1"/>
  <c r="E258" i="1"/>
  <c r="E576" i="1"/>
  <c r="E673" i="1"/>
  <c r="E136" i="1"/>
  <c r="F57" i="1"/>
  <c r="E411" i="1"/>
  <c r="E468" i="1"/>
  <c r="E396" i="1"/>
  <c r="F374" i="1"/>
  <c r="F373" i="1"/>
  <c r="F329" i="1"/>
  <c r="E335" i="1"/>
  <c r="E325" i="1"/>
  <c r="F315" i="1"/>
  <c r="E330" i="1"/>
  <c r="F421" i="1"/>
  <c r="F502" i="1"/>
  <c r="F496" i="1"/>
  <c r="F438" i="1"/>
  <c r="E108" i="1"/>
  <c r="F121" i="1"/>
  <c r="E96" i="1"/>
  <c r="E90" i="1"/>
  <c r="F425" i="1"/>
  <c r="E304" i="1"/>
  <c r="E303" i="1"/>
  <c r="E297" i="1"/>
  <c r="E296" i="1"/>
  <c r="F285" i="1"/>
  <c r="F275" i="1"/>
  <c r="F264" i="1"/>
  <c r="E263" i="1"/>
  <c r="E415" i="1"/>
  <c r="E195" i="1"/>
  <c r="E184" i="1"/>
  <c r="E178" i="1"/>
  <c r="F203" i="1"/>
  <c r="E197" i="1"/>
  <c r="E207" i="1"/>
  <c r="F191" i="1"/>
  <c r="F434" i="1"/>
  <c r="E590" i="1"/>
  <c r="E585" i="1"/>
  <c r="E450" i="1"/>
  <c r="E17" i="1"/>
  <c r="E6" i="1"/>
  <c r="E36" i="1"/>
  <c r="E5" i="1"/>
  <c r="F619" i="1"/>
  <c r="E623" i="1"/>
  <c r="F621" i="1"/>
  <c r="F632" i="1"/>
  <c r="F607" i="1"/>
  <c r="F605" i="1"/>
  <c r="F255" i="1"/>
  <c r="E253" i="1"/>
  <c r="E239" i="1"/>
  <c r="E233" i="1"/>
  <c r="F457" i="1"/>
  <c r="E141" i="1"/>
  <c r="E60" i="1"/>
  <c r="E492" i="1"/>
  <c r="E525" i="1"/>
  <c r="F265" i="1"/>
  <c r="F505" i="1"/>
  <c r="J33" i="72"/>
  <c r="F44" i="1"/>
  <c r="E475" i="1"/>
  <c r="F261" i="1"/>
  <c r="E562" i="1"/>
  <c r="E313" i="1"/>
  <c r="F271" i="1"/>
  <c r="F475" i="1"/>
  <c r="E261" i="1"/>
  <c r="G271" i="1"/>
  <c r="F13" i="1"/>
  <c r="F685" i="1"/>
  <c r="E62" i="1"/>
  <c r="E423" i="1"/>
  <c r="F423" i="1"/>
  <c r="F402" i="1"/>
  <c r="G402" i="1"/>
  <c r="E138" i="1"/>
  <c r="F144" i="1"/>
  <c r="E144" i="1"/>
  <c r="E147" i="1"/>
  <c r="F147" i="1"/>
  <c r="F59" i="1"/>
  <c r="E59" i="1"/>
  <c r="F534" i="1"/>
  <c r="G534" i="1"/>
  <c r="E534" i="1"/>
  <c r="E380" i="1"/>
  <c r="E352" i="1"/>
  <c r="E634" i="1"/>
  <c r="E630" i="1"/>
  <c r="F563" i="1"/>
  <c r="F420" i="1"/>
  <c r="F127" i="1"/>
  <c r="F273" i="1"/>
  <c r="E563" i="1"/>
  <c r="F313" i="1"/>
  <c r="E379" i="1"/>
  <c r="F510" i="1"/>
  <c r="F408" i="1"/>
  <c r="E466" i="1"/>
  <c r="E328" i="1"/>
  <c r="F375" i="1"/>
  <c r="F322" i="1"/>
  <c r="E320" i="1"/>
  <c r="F324" i="1"/>
  <c r="F493" i="1"/>
  <c r="E504" i="1"/>
  <c r="E442" i="1"/>
  <c r="E366" i="1"/>
  <c r="E355" i="1"/>
  <c r="E649" i="1"/>
  <c r="F644" i="1"/>
  <c r="E440" i="1"/>
  <c r="E98" i="1"/>
  <c r="F116" i="1"/>
  <c r="E693" i="1"/>
  <c r="E305" i="1"/>
  <c r="E298" i="1"/>
  <c r="F270" i="1"/>
  <c r="E269" i="1"/>
  <c r="F281" i="1"/>
  <c r="F283" i="1"/>
  <c r="E678" i="1"/>
  <c r="E586" i="1"/>
  <c r="E683" i="1"/>
  <c r="G130" i="1"/>
  <c r="F130" i="1"/>
  <c r="G155" i="1"/>
  <c r="F155" i="1"/>
  <c r="E473" i="1"/>
  <c r="F614" i="1"/>
  <c r="F55" i="1"/>
  <c r="E55" i="1"/>
  <c r="F548" i="1"/>
  <c r="E484" i="1"/>
  <c r="E410" i="1"/>
  <c r="F395" i="1"/>
  <c r="E388" i="1"/>
  <c r="E321" i="1"/>
  <c r="F332" i="1"/>
  <c r="F497" i="1"/>
  <c r="F93" i="1"/>
  <c r="E311" i="1"/>
  <c r="E282" i="1"/>
  <c r="F278" i="1"/>
  <c r="E194" i="1"/>
  <c r="E202" i="1"/>
  <c r="E206" i="1"/>
  <c r="E448" i="1"/>
  <c r="F24" i="1"/>
  <c r="F618" i="1"/>
  <c r="F629" i="1"/>
  <c r="E613" i="1"/>
  <c r="E230" i="1"/>
  <c r="E228" i="1"/>
  <c r="F259" i="1"/>
  <c r="E574" i="1"/>
  <c r="E604" i="1"/>
  <c r="E567" i="1"/>
  <c r="F555" i="1"/>
  <c r="E554" i="1"/>
  <c r="F569" i="1"/>
  <c r="E550" i="1"/>
  <c r="F532" i="1"/>
  <c r="E533" i="1"/>
  <c r="F530" i="1"/>
  <c r="E513" i="1"/>
  <c r="E126" i="1"/>
  <c r="F126" i="1"/>
  <c r="E66" i="1"/>
  <c r="E61" i="1"/>
  <c r="F61" i="1"/>
  <c r="G485" i="1"/>
  <c r="E485" i="1"/>
  <c r="E516" i="1"/>
  <c r="G516" i="1"/>
  <c r="E199" i="1"/>
  <c r="E193" i="1"/>
  <c r="E182" i="1"/>
  <c r="E201" i="1"/>
  <c r="F600" i="1"/>
  <c r="F445" i="1"/>
  <c r="F38" i="1"/>
  <c r="E32" i="1"/>
  <c r="F22" i="1"/>
  <c r="E26" i="1"/>
  <c r="F21" i="1"/>
  <c r="F622" i="1"/>
  <c r="E620" i="1"/>
  <c r="E633" i="1"/>
  <c r="E631" i="1"/>
  <c r="F608" i="1"/>
  <c r="E606" i="1"/>
  <c r="E254" i="1"/>
  <c r="E252" i="1"/>
  <c r="E251" i="1"/>
  <c r="F238" i="1"/>
  <c r="E232" i="1"/>
  <c r="E231" i="1"/>
  <c r="E456" i="1"/>
  <c r="E30" i="1"/>
  <c r="E677" i="1"/>
  <c r="F681" i="1"/>
  <c r="F684" i="1"/>
  <c r="E391" i="1"/>
  <c r="F413" i="1"/>
  <c r="F401" i="1"/>
  <c r="F467" i="1"/>
  <c r="F472" i="1"/>
  <c r="E393" i="1"/>
  <c r="E386" i="1"/>
  <c r="E377" i="1"/>
  <c r="F376" i="1"/>
  <c r="E326" i="1"/>
  <c r="F319" i="1"/>
  <c r="F327" i="1"/>
  <c r="F333" i="1"/>
  <c r="E498" i="1"/>
  <c r="F356" i="1"/>
  <c r="E336" i="1"/>
  <c r="E645" i="1"/>
  <c r="F657" i="1"/>
  <c r="F642" i="1"/>
  <c r="F640" i="1"/>
  <c r="E652" i="1"/>
  <c r="F635" i="1"/>
  <c r="E439" i="1"/>
  <c r="F109" i="1"/>
  <c r="F119" i="1"/>
  <c r="E103" i="1"/>
  <c r="F97" i="1"/>
  <c r="E111" i="1"/>
  <c r="F115" i="1"/>
  <c r="F310" i="1"/>
  <c r="F309" i="1"/>
  <c r="E299" i="1"/>
  <c r="F267" i="1"/>
  <c r="F266" i="1"/>
  <c r="F416" i="1"/>
  <c r="E42" i="1"/>
  <c r="E46" i="1"/>
  <c r="F50" i="1"/>
  <c r="E198" i="1"/>
  <c r="F192" i="1"/>
  <c r="F181" i="1"/>
  <c r="F186" i="1"/>
  <c r="E435" i="1"/>
  <c r="E589" i="1"/>
  <c r="E588" i="1"/>
  <c r="E601" i="1"/>
  <c r="E31" i="1"/>
  <c r="F25" i="1"/>
  <c r="E624" i="1"/>
  <c r="E617" i="1"/>
  <c r="F628" i="1"/>
  <c r="E626" i="1"/>
  <c r="F696" i="1"/>
  <c r="E612" i="1"/>
  <c r="F610" i="1"/>
  <c r="F245" i="1"/>
  <c r="F229" i="1"/>
  <c r="E227" i="1"/>
  <c r="E226" i="1"/>
  <c r="E455" i="1"/>
  <c r="F257" i="1"/>
  <c r="F603" i="1"/>
  <c r="F545" i="1"/>
  <c r="E571" i="1"/>
  <c r="E561" i="1"/>
  <c r="E552" i="1"/>
  <c r="E515" i="1"/>
  <c r="F687" i="1"/>
  <c r="E691" i="1"/>
  <c r="E68" i="1"/>
  <c r="E476" i="1"/>
  <c r="C46" i="74"/>
  <c r="F30" i="58"/>
  <c r="G30" i="58" s="1"/>
  <c r="C41" i="20"/>
  <c r="C49" i="3"/>
  <c r="C63" i="6"/>
  <c r="C64" i="54"/>
  <c r="C53" i="72"/>
  <c r="C66" i="31"/>
  <c r="C63" i="4"/>
  <c r="C49" i="4"/>
  <c r="F31" i="54"/>
  <c r="G31" i="54" s="1"/>
  <c r="C41" i="19"/>
  <c r="C41" i="61"/>
  <c r="E532" i="1"/>
  <c r="C63" i="3"/>
  <c r="C49" i="30"/>
  <c r="C42" i="61"/>
  <c r="C40" i="44"/>
  <c r="C50" i="71"/>
  <c r="C39" i="48"/>
  <c r="C52" i="51"/>
  <c r="C41" i="18"/>
  <c r="C41" i="58"/>
  <c r="C61" i="54"/>
  <c r="C32" i="53"/>
  <c r="C42" i="54"/>
  <c r="C50" i="3"/>
  <c r="H62" i="54"/>
  <c r="C40" i="80"/>
  <c r="C43" i="37"/>
  <c r="F626" i="1"/>
  <c r="F196" i="1"/>
  <c r="E64" i="54"/>
  <c r="F64" i="54" s="1"/>
  <c r="G64" i="54" s="1"/>
  <c r="C42" i="4"/>
  <c r="E255" i="1"/>
  <c r="E457" i="1"/>
  <c r="E689" i="1"/>
  <c r="H46" i="5"/>
  <c r="C31" i="4"/>
  <c r="F586" i="1"/>
  <c r="C44" i="37"/>
  <c r="C29" i="20"/>
  <c r="F533" i="1"/>
  <c r="C44" i="3"/>
  <c r="C30" i="8"/>
  <c r="E703" i="1"/>
  <c r="F49" i="1"/>
  <c r="C40" i="81"/>
  <c r="C41" i="74"/>
  <c r="C29" i="17"/>
  <c r="E50" i="1"/>
  <c r="E614" i="1"/>
  <c r="C28" i="48"/>
  <c r="H51" i="61"/>
  <c r="F550" i="1"/>
  <c r="F564" i="1"/>
  <c r="C65" i="31"/>
  <c r="C64" i="71"/>
  <c r="C65" i="7"/>
  <c r="C50" i="31"/>
  <c r="C50" i="7"/>
  <c r="F683" i="1"/>
  <c r="F28" i="58"/>
  <c r="G28" i="58" s="1"/>
  <c r="F29" i="80"/>
  <c r="G29" i="80" s="1"/>
  <c r="C41" i="17"/>
  <c r="C41" i="70"/>
  <c r="C38" i="47"/>
  <c r="C46" i="37"/>
  <c r="H41" i="56"/>
  <c r="F251" i="1"/>
  <c r="C64" i="30"/>
  <c r="C63" i="5"/>
  <c r="C50" i="54"/>
  <c r="C47" i="37"/>
  <c r="F688" i="1"/>
  <c r="E688" i="1"/>
  <c r="C41" i="56"/>
  <c r="C41" i="33"/>
  <c r="C40" i="46"/>
  <c r="C57" i="74"/>
  <c r="C42" i="81"/>
  <c r="C35" i="44"/>
  <c r="C38" i="56"/>
  <c r="C39" i="56"/>
  <c r="F705" i="1"/>
  <c r="E257" i="1"/>
  <c r="F515" i="1"/>
  <c r="E416" i="1"/>
  <c r="E229" i="1"/>
  <c r="H55" i="33"/>
  <c r="H38" i="20"/>
  <c r="F53" i="1"/>
  <c r="E374" i="1"/>
  <c r="F59" i="77"/>
  <c r="C65" i="71"/>
  <c r="H36" i="3"/>
  <c r="C39" i="18"/>
  <c r="C44" i="71"/>
  <c r="C44" i="6"/>
  <c r="C37" i="46"/>
  <c r="C38" i="17"/>
  <c r="C36" i="61"/>
  <c r="C29" i="56"/>
  <c r="E704" i="1"/>
  <c r="C34" i="33"/>
  <c r="F111" i="1"/>
  <c r="F296" i="1"/>
  <c r="A184" i="39"/>
  <c r="E472" i="1"/>
  <c r="E310" i="1"/>
  <c r="C39" i="20"/>
  <c r="C34" i="48"/>
  <c r="C46" i="5"/>
  <c r="C38" i="20"/>
  <c r="C39" i="33"/>
  <c r="F703" i="1"/>
  <c r="C42" i="3"/>
  <c r="A219" i="39"/>
  <c r="A64" i="57" s="1"/>
  <c r="F601" i="1"/>
  <c r="F391" i="1"/>
  <c r="H45" i="70"/>
  <c r="H31" i="61"/>
  <c r="H39" i="47"/>
  <c r="H49" i="80"/>
  <c r="H43" i="34"/>
  <c r="H38" i="8"/>
  <c r="C35" i="8"/>
  <c r="F5" i="1"/>
  <c r="E425" i="1"/>
  <c r="F239" i="1"/>
  <c r="F363" i="1"/>
  <c r="E421" i="1"/>
  <c r="F415" i="1"/>
  <c r="F634" i="1"/>
  <c r="E605" i="1"/>
  <c r="E463" i="1"/>
  <c r="E203" i="1"/>
  <c r="F652" i="1"/>
  <c r="E635" i="1"/>
  <c r="E702" i="1"/>
  <c r="A193" i="39"/>
  <c r="A1" i="57" s="1"/>
  <c r="E628" i="1"/>
  <c r="C29" i="61"/>
  <c r="A163" i="39"/>
  <c r="E13" i="1"/>
  <c r="F46" i="1"/>
  <c r="F103" i="1"/>
  <c r="A96" i="39"/>
  <c r="A39" i="3" s="1"/>
  <c r="F455" i="1"/>
  <c r="E190" i="1"/>
  <c r="C47" i="30"/>
  <c r="C37" i="8"/>
  <c r="C36" i="20"/>
  <c r="C37" i="44"/>
  <c r="C38" i="58"/>
  <c r="C29" i="34"/>
  <c r="F707" i="1"/>
  <c r="H41" i="58"/>
  <c r="H36" i="48"/>
  <c r="H47" i="17"/>
  <c r="H51" i="30"/>
  <c r="F702" i="1"/>
  <c r="E706" i="1"/>
  <c r="F117" i="1"/>
  <c r="A14" i="39"/>
  <c r="A67" i="3" s="1"/>
  <c r="A160" i="39"/>
  <c r="C50" i="4"/>
  <c r="E63" i="6"/>
  <c r="F63" i="6" s="1"/>
  <c r="G63" i="6" s="1"/>
  <c r="C30" i="34"/>
  <c r="C60" i="6"/>
  <c r="F589" i="1"/>
  <c r="F554" i="1"/>
  <c r="C44" i="78"/>
  <c r="E285" i="1"/>
  <c r="C44" i="55"/>
  <c r="C42" i="31"/>
  <c r="E41" i="1"/>
  <c r="E619" i="1"/>
  <c r="F428" i="1"/>
  <c r="E315" i="1"/>
  <c r="F630" i="1"/>
  <c r="C34" i="34"/>
  <c r="H51" i="81"/>
  <c r="H47" i="61"/>
  <c r="H36" i="44"/>
  <c r="H44" i="56"/>
  <c r="H45" i="54"/>
  <c r="C34" i="62"/>
  <c r="C33" i="46"/>
  <c r="F6" i="1"/>
  <c r="F468" i="1"/>
  <c r="F28" i="1"/>
  <c r="C48" i="74"/>
  <c r="E191" i="1"/>
  <c r="C67" i="51"/>
  <c r="C31" i="6"/>
  <c r="F590" i="1"/>
  <c r="F297" i="1"/>
  <c r="H59" i="5"/>
  <c r="H44" i="81"/>
  <c r="H28" i="81"/>
  <c r="H26" i="81"/>
  <c r="H53" i="58"/>
  <c r="H55" i="34"/>
  <c r="H27" i="58"/>
  <c r="H47" i="46"/>
  <c r="H26" i="34"/>
  <c r="H40" i="48"/>
  <c r="H46" i="44"/>
  <c r="H35" i="33"/>
  <c r="H49" i="20"/>
  <c r="H40" i="70"/>
  <c r="H47" i="8"/>
  <c r="H39" i="56"/>
  <c r="H37" i="18"/>
  <c r="H42" i="18"/>
  <c r="H52" i="51"/>
  <c r="H50" i="5"/>
  <c r="H44" i="3"/>
  <c r="C42" i="7"/>
  <c r="C31" i="47"/>
  <c r="C39" i="37"/>
  <c r="C33" i="44"/>
  <c r="F370" i="1"/>
  <c r="C54" i="72"/>
  <c r="C48" i="37"/>
  <c r="F585" i="1"/>
  <c r="F380" i="1"/>
  <c r="F473" i="1"/>
  <c r="E681" i="1"/>
  <c r="C45" i="53"/>
  <c r="F263" i="1"/>
  <c r="H33" i="3"/>
  <c r="H29" i="30"/>
  <c r="H66" i="7"/>
  <c r="H60" i="19"/>
  <c r="G27" i="57"/>
  <c r="E275" i="1"/>
  <c r="H50" i="6"/>
  <c r="E662" i="1"/>
  <c r="C34" i="17"/>
  <c r="H41" i="37"/>
  <c r="H43" i="80"/>
  <c r="H48" i="80"/>
  <c r="H44" i="61"/>
  <c r="H50" i="46"/>
  <c r="H40" i="58"/>
  <c r="H36" i="46"/>
  <c r="H35" i="47"/>
  <c r="H39" i="34"/>
  <c r="H54" i="44"/>
  <c r="H55" i="18"/>
  <c r="H48" i="33"/>
  <c r="H51" i="70"/>
  <c r="H56" i="19"/>
  <c r="H52" i="19"/>
  <c r="H43" i="19"/>
  <c r="H54" i="56"/>
  <c r="H53" i="17"/>
  <c r="H52" i="54"/>
  <c r="H50" i="71"/>
  <c r="H49" i="3"/>
  <c r="C42" i="71"/>
  <c r="C34" i="18"/>
  <c r="C44" i="53"/>
  <c r="C34" i="19"/>
  <c r="F582" i="1"/>
  <c r="C50" i="30"/>
  <c r="C51" i="37"/>
  <c r="E363" i="1"/>
  <c r="E434" i="1"/>
  <c r="F352" i="1"/>
  <c r="F178" i="1"/>
  <c r="H29" i="4"/>
  <c r="H36" i="51"/>
  <c r="H27" i="8"/>
  <c r="F184" i="1"/>
  <c r="F108" i="1"/>
  <c r="C42" i="18"/>
  <c r="H45" i="74"/>
  <c r="H39" i="80"/>
  <c r="H52" i="78"/>
  <c r="H42" i="62"/>
  <c r="H49" i="61"/>
  <c r="H39" i="58"/>
  <c r="H41" i="47"/>
  <c r="H56" i="34"/>
  <c r="H47" i="48"/>
  <c r="H47" i="44"/>
  <c r="H51" i="33"/>
  <c r="H56" i="20"/>
  <c r="H28" i="20"/>
  <c r="H41" i="19"/>
  <c r="H46" i="18"/>
  <c r="H53" i="18"/>
  <c r="H54" i="19"/>
  <c r="H46" i="7"/>
  <c r="H44" i="5"/>
  <c r="H54" i="71"/>
  <c r="H44" i="4"/>
  <c r="C36" i="51"/>
  <c r="H34" i="54"/>
  <c r="H60" i="6"/>
  <c r="H33" i="53"/>
  <c r="C40" i="47"/>
  <c r="E93" i="1"/>
  <c r="A130" i="39"/>
  <c r="A79" i="39"/>
  <c r="A32" i="39"/>
  <c r="A33" i="77" s="1"/>
  <c r="A53" i="39"/>
  <c r="C28" i="19"/>
  <c r="C51" i="7"/>
  <c r="E569" i="1"/>
  <c r="F673" i="1"/>
  <c r="E555" i="1"/>
  <c r="F513" i="1"/>
  <c r="C64" i="5"/>
  <c r="F559" i="1"/>
  <c r="C60" i="55"/>
  <c r="F604" i="1"/>
  <c r="A76" i="39"/>
  <c r="A11" i="72" s="1"/>
  <c r="A220" i="39"/>
  <c r="M44" i="77" s="1"/>
  <c r="A103" i="39"/>
  <c r="C49" i="72"/>
  <c r="C56" i="74"/>
  <c r="C64" i="4"/>
  <c r="C60" i="4"/>
  <c r="C60" i="5"/>
  <c r="F567" i="1"/>
  <c r="F258" i="1"/>
  <c r="E539" i="1"/>
  <c r="F104" i="1"/>
  <c r="A218" i="39"/>
  <c r="A63" i="57" s="1"/>
  <c r="A165" i="39"/>
  <c r="A102" i="39"/>
  <c r="A59" i="3" s="1"/>
  <c r="A43" i="39"/>
  <c r="A223" i="39"/>
  <c r="A137" i="39"/>
  <c r="A77" i="77" s="1"/>
  <c r="A63" i="39"/>
  <c r="A195" i="39"/>
  <c r="A11" i="57" s="1"/>
  <c r="A124" i="39"/>
  <c r="A54" i="20" s="1"/>
  <c r="A62" i="39"/>
  <c r="A194" i="39"/>
  <c r="A35" i="39"/>
  <c r="A59" i="39"/>
  <c r="A153" i="39"/>
  <c r="A88" i="77" s="1"/>
  <c r="A197" i="39"/>
  <c r="A61" i="37" s="1"/>
  <c r="A142" i="39"/>
  <c r="A82" i="77" s="1"/>
  <c r="A80" i="39"/>
  <c r="A27" i="72" s="1"/>
  <c r="A18" i="39"/>
  <c r="A200" i="39"/>
  <c r="A87" i="39"/>
  <c r="A36" i="81" s="1"/>
  <c r="A233" i="39"/>
  <c r="A47" i="72" s="1"/>
  <c r="A171" i="39"/>
  <c r="A104" i="39"/>
  <c r="A61" i="3" s="1"/>
  <c r="A41" i="39"/>
  <c r="A131" i="39"/>
  <c r="A168" i="39"/>
  <c r="A225" i="39"/>
  <c r="A91" i="39"/>
  <c r="H49" i="17"/>
  <c r="A235" i="39"/>
  <c r="A169" i="39"/>
  <c r="A110" i="39"/>
  <c r="A30" i="8" s="1"/>
  <c r="A52" i="39"/>
  <c r="A234" i="39"/>
  <c r="A39" i="72" s="1"/>
  <c r="A143" i="39"/>
  <c r="A83" i="77" s="1"/>
  <c r="A21" i="39"/>
  <c r="A199" i="39"/>
  <c r="A65" i="37" s="1"/>
  <c r="A128" i="39"/>
  <c r="A74" i="39"/>
  <c r="A11" i="74" s="1"/>
  <c r="A210" i="39"/>
  <c r="A28" i="80" s="1"/>
  <c r="A57" i="39"/>
  <c r="P24" i="77" s="1"/>
  <c r="A83" i="39"/>
  <c r="A174" i="39"/>
  <c r="G8" i="58"/>
  <c r="A185" i="39"/>
  <c r="A126" i="39"/>
  <c r="A64" i="39"/>
  <c r="A10" i="47" s="1"/>
  <c r="A10" i="39"/>
  <c r="A180" i="39"/>
  <c r="A47" i="39"/>
  <c r="A7" i="34" s="1"/>
  <c r="A216" i="39"/>
  <c r="A61" i="57" s="1"/>
  <c r="A146" i="39"/>
  <c r="A86" i="39"/>
  <c r="A44" i="72" s="1"/>
  <c r="A24" i="39"/>
  <c r="A7" i="77" s="1"/>
  <c r="A95" i="39"/>
  <c r="A214" i="39"/>
  <c r="H58" i="37"/>
  <c r="H40" i="81"/>
  <c r="H28" i="80"/>
  <c r="H48" i="78"/>
  <c r="H53" i="53"/>
  <c r="H38" i="58"/>
  <c r="H41" i="62"/>
  <c r="H35" i="62"/>
  <c r="H44" i="46"/>
  <c r="H47" i="47"/>
  <c r="H48" i="34"/>
  <c r="H35" i="34"/>
  <c r="H50" i="48"/>
  <c r="H40" i="44"/>
  <c r="H43" i="33"/>
  <c r="H38" i="70"/>
  <c r="H34" i="20"/>
  <c r="H54" i="20"/>
  <c r="H55" i="8"/>
  <c r="H38" i="19"/>
  <c r="H60" i="18"/>
  <c r="H42" i="8"/>
  <c r="H36" i="19"/>
  <c r="H27" i="18"/>
  <c r="H46" i="54"/>
  <c r="H44" i="71"/>
  <c r="H52" i="6"/>
  <c r="H47" i="30"/>
  <c r="A209" i="39"/>
  <c r="A177" i="39"/>
  <c r="A144" i="39"/>
  <c r="A73" i="77" s="1"/>
  <c r="A118" i="39"/>
  <c r="A48" i="56" s="1"/>
  <c r="A84" i="39"/>
  <c r="A60" i="39"/>
  <c r="A30" i="39"/>
  <c r="A22" i="77" s="1"/>
  <c r="A238" i="39"/>
  <c r="A32" i="57" s="1"/>
  <c r="A204" i="39"/>
  <c r="A47" i="53" s="1"/>
  <c r="A172" i="39"/>
  <c r="A51" i="74" s="1"/>
  <c r="A105" i="39"/>
  <c r="A57" i="37" s="1"/>
  <c r="A33" i="39"/>
  <c r="D41" i="3" s="1"/>
  <c r="A9" i="39"/>
  <c r="A203" i="39"/>
  <c r="A50" i="51" s="1"/>
  <c r="A179" i="39"/>
  <c r="A140" i="39"/>
  <c r="A80" i="77" s="1"/>
  <c r="A108" i="39"/>
  <c r="A78" i="39"/>
  <c r="A54" i="39"/>
  <c r="A12" i="39"/>
  <c r="A149" i="39"/>
  <c r="A73" i="39"/>
  <c r="A8" i="72" s="1"/>
  <c r="A192" i="39"/>
  <c r="A113" i="39"/>
  <c r="A31" i="56" s="1"/>
  <c r="A17" i="39"/>
  <c r="A190" i="39"/>
  <c r="A99" i="39"/>
  <c r="E657" i="1"/>
  <c r="E25" i="1"/>
  <c r="E356" i="1"/>
  <c r="E181" i="1"/>
  <c r="C33" i="51"/>
  <c r="F574" i="1"/>
  <c r="H60" i="72"/>
  <c r="H37" i="55"/>
  <c r="H59" i="3"/>
  <c r="H34" i="74"/>
  <c r="H59" i="58"/>
  <c r="F678" i="1"/>
  <c r="H31" i="78"/>
  <c r="F503" i="1"/>
  <c r="E503" i="1"/>
  <c r="F647" i="1"/>
  <c r="E647" i="1"/>
  <c r="E637" i="1"/>
  <c r="F637" i="1"/>
  <c r="F609" i="1"/>
  <c r="E609" i="1"/>
  <c r="C28" i="46"/>
  <c r="C29" i="62"/>
  <c r="A7" i="39"/>
  <c r="A77" i="39"/>
  <c r="A13" i="3" s="1"/>
  <c r="A135" i="39"/>
  <c r="A75" i="77" s="1"/>
  <c r="A198" i="39"/>
  <c r="A62" i="37" s="1"/>
  <c r="A5" i="39"/>
  <c r="A75" i="39"/>
  <c r="A10" i="72" s="1"/>
  <c r="A133" i="39"/>
  <c r="A11" i="39"/>
  <c r="A60" i="78" s="1"/>
  <c r="A65" i="39"/>
  <c r="A115" i="39"/>
  <c r="A45" i="56" s="1"/>
  <c r="A186" i="39"/>
  <c r="A16" i="39"/>
  <c r="A45" i="39"/>
  <c r="A70" i="39"/>
  <c r="A4" i="72" s="1"/>
  <c r="A92" i="39"/>
  <c r="A112" i="39"/>
  <c r="A57" i="18" s="1"/>
  <c r="A136" i="39"/>
  <c r="A76" i="77" s="1"/>
  <c r="A167" i="39"/>
  <c r="A187" i="39"/>
  <c r="A211" i="39"/>
  <c r="A237" i="39"/>
  <c r="A46" i="72" s="1"/>
  <c r="A117" i="39"/>
  <c r="A47" i="70" s="1"/>
  <c r="A67" i="39"/>
  <c r="A109" i="39"/>
  <c r="A29" i="8" s="1"/>
  <c r="A28" i="17" s="1"/>
  <c r="A151" i="39"/>
  <c r="J45" i="77" s="1"/>
  <c r="A196" i="39"/>
  <c r="A41" i="48" s="1"/>
  <c r="A217" i="39"/>
  <c r="A62" i="57" s="1"/>
  <c r="A2" i="39"/>
  <c r="A26" i="39"/>
  <c r="A11" i="77" s="1"/>
  <c r="A48" i="39"/>
  <c r="A8" i="34" s="1"/>
  <c r="A68" i="39"/>
  <c r="A94" i="39"/>
  <c r="A37" i="3" s="1"/>
  <c r="A37" i="7" s="1"/>
  <c r="A114" i="39"/>
  <c r="A44" i="62" s="1"/>
  <c r="A134" i="39"/>
  <c r="A74" i="77" s="1"/>
  <c r="A161" i="39"/>
  <c r="A181" i="39"/>
  <c r="A201" i="39"/>
  <c r="A229" i="39"/>
  <c r="F483" i="1"/>
  <c r="E483" i="1"/>
  <c r="E591" i="1"/>
  <c r="F591" i="1"/>
  <c r="C63" i="55"/>
  <c r="C60" i="72"/>
  <c r="A213" i="39"/>
  <c r="A42" i="57" s="1"/>
  <c r="A148" i="39"/>
  <c r="A98" i="39"/>
  <c r="A34" i="39"/>
  <c r="A212" i="39"/>
  <c r="A121" i="39"/>
  <c r="A47" i="81" s="1"/>
  <c r="A42" i="39"/>
  <c r="G7" i="72" s="1"/>
  <c r="A183" i="39"/>
  <c r="A120" i="39"/>
  <c r="A50" i="70" s="1"/>
  <c r="A58" i="39"/>
  <c r="B18" i="77" s="1"/>
  <c r="A162" i="39"/>
  <c r="A27" i="39"/>
  <c r="A13" i="77" s="1"/>
  <c r="A125" i="39"/>
  <c r="A37" i="39"/>
  <c r="E3" i="3" s="1"/>
  <c r="A127" i="39"/>
  <c r="A44" i="39"/>
  <c r="F10" i="53" s="1"/>
  <c r="H52" i="47"/>
  <c r="H44" i="31"/>
  <c r="H38" i="53"/>
  <c r="H34" i="53"/>
  <c r="H66" i="3"/>
  <c r="H31" i="30"/>
  <c r="H65" i="31"/>
  <c r="H50" i="30"/>
  <c r="F611" i="1"/>
  <c r="E611" i="1"/>
  <c r="F575" i="1"/>
  <c r="E575" i="1"/>
  <c r="E549" i="1"/>
  <c r="F549" i="1"/>
  <c r="C62" i="7"/>
  <c r="C60" i="3"/>
  <c r="C49" i="78"/>
  <c r="C49" i="53"/>
  <c r="E680" i="1"/>
  <c r="F680" i="1"/>
  <c r="C47" i="74"/>
  <c r="C51" i="54"/>
  <c r="H49" i="4"/>
  <c r="H55" i="72"/>
  <c r="H29" i="5"/>
  <c r="H62" i="72"/>
  <c r="H28" i="6"/>
  <c r="H39" i="5"/>
  <c r="H34" i="6"/>
  <c r="H61" i="54"/>
  <c r="H56" i="74"/>
  <c r="H68" i="7"/>
  <c r="H27" i="19"/>
  <c r="H26" i="46"/>
  <c r="G14" i="57"/>
  <c r="H40" i="56"/>
  <c r="F399" i="1"/>
  <c r="E399" i="1"/>
  <c r="F381" i="1"/>
  <c r="E381" i="1"/>
  <c r="E94" i="1"/>
  <c r="F94" i="1"/>
  <c r="C31" i="5"/>
  <c r="C32" i="72"/>
  <c r="H52" i="81"/>
  <c r="H26" i="70"/>
  <c r="H46" i="6"/>
  <c r="G81" i="42"/>
  <c r="H28" i="47"/>
  <c r="H48" i="37"/>
  <c r="H37" i="7"/>
  <c r="H60" i="56"/>
  <c r="H36" i="55"/>
  <c r="H49" i="37"/>
  <c r="H28" i="71"/>
  <c r="H50" i="54"/>
  <c r="H28" i="54"/>
  <c r="H31" i="31"/>
  <c r="H36" i="72"/>
  <c r="H31" i="5"/>
  <c r="H62" i="31"/>
  <c r="H37" i="3"/>
  <c r="H31" i="3"/>
  <c r="H56" i="72"/>
  <c r="A246" i="39"/>
  <c r="A13" i="56" s="1"/>
  <c r="A31" i="39"/>
  <c r="A17" i="77" s="1"/>
  <c r="A69" i="39"/>
  <c r="A16" i="77" s="1"/>
  <c r="A111" i="39"/>
  <c r="A36" i="51" s="1"/>
  <c r="A145" i="39"/>
  <c r="A182" i="39"/>
  <c r="A206" i="39"/>
  <c r="A61" i="78" s="1"/>
  <c r="A232" i="39"/>
  <c r="A25" i="39"/>
  <c r="A9" i="77" s="1"/>
  <c r="A71" i="39"/>
  <c r="A7" i="3" s="1"/>
  <c r="A7" i="85" s="1"/>
  <c r="A101" i="39"/>
  <c r="A141" i="39"/>
  <c r="A81" i="77" s="1"/>
  <c r="A176" i="39"/>
  <c r="A19" i="39"/>
  <c r="A49" i="39"/>
  <c r="A9" i="56" s="1"/>
  <c r="A81" i="39"/>
  <c r="A107" i="39"/>
  <c r="A27" i="8" s="1"/>
  <c r="A24" i="47" s="1"/>
  <c r="A139" i="39"/>
  <c r="A79" i="77" s="1"/>
  <c r="A178" i="39"/>
  <c r="A4" i="39"/>
  <c r="A20" i="39"/>
  <c r="A36" i="39"/>
  <c r="D3" i="72" s="1"/>
  <c r="F422" i="1"/>
  <c r="E422" i="1"/>
  <c r="E361" i="1"/>
  <c r="F336" i="1"/>
  <c r="C45" i="72"/>
  <c r="F364" i="1"/>
  <c r="F655" i="1"/>
  <c r="E655" i="1"/>
  <c r="E650" i="1"/>
  <c r="F650" i="1"/>
  <c r="F427" i="1"/>
  <c r="E427" i="1"/>
  <c r="E276" i="1"/>
  <c r="F276" i="1"/>
  <c r="E580" i="1"/>
  <c r="F580" i="1"/>
  <c r="F686" i="1"/>
  <c r="E686" i="1"/>
  <c r="D4" i="57"/>
  <c r="E4" i="57" s="1"/>
  <c r="F4" i="57" s="1"/>
  <c r="E63" i="3"/>
  <c r="F63" i="3" s="1"/>
  <c r="G63" i="3" s="1"/>
  <c r="F277" i="1"/>
  <c r="E277" i="1"/>
  <c r="C66" i="7"/>
  <c r="C64" i="6"/>
  <c r="H58" i="74"/>
  <c r="H44" i="78"/>
  <c r="H32" i="81"/>
  <c r="H45" i="78"/>
  <c r="H36" i="81"/>
  <c r="H57" i="62"/>
  <c r="H28" i="58"/>
  <c r="H56" i="62"/>
  <c r="H40" i="62"/>
  <c r="H50" i="62"/>
  <c r="H40" i="46"/>
  <c r="H42" i="47"/>
  <c r="H31" i="47"/>
  <c r="H51" i="34"/>
  <c r="H48" i="48"/>
  <c r="H32" i="48"/>
  <c r="H25" i="44"/>
  <c r="H26" i="33"/>
  <c r="H39" i="33"/>
  <c r="H52" i="70"/>
  <c r="H42" i="20"/>
  <c r="H35" i="70"/>
  <c r="H46" i="20"/>
  <c r="H47" i="18"/>
  <c r="H50" i="17"/>
  <c r="H57" i="56"/>
  <c r="H25" i="18"/>
  <c r="H48" i="8"/>
  <c r="H36" i="56"/>
  <c r="H56" i="56"/>
  <c r="H53" i="7"/>
  <c r="H27" i="56"/>
  <c r="H47" i="71"/>
  <c r="H47" i="6"/>
  <c r="H44" i="30"/>
  <c r="H47" i="4"/>
  <c r="L66" i="6"/>
  <c r="J31" i="30"/>
  <c r="A224" i="39"/>
  <c r="A205" i="39"/>
  <c r="A39" i="80" s="1"/>
  <c r="A189" i="39"/>
  <c r="A173" i="39"/>
  <c r="A152" i="39"/>
  <c r="A138" i="39"/>
  <c r="A78" i="77" s="1"/>
  <c r="A122" i="39"/>
  <c r="A51" i="44" s="1"/>
  <c r="A106" i="39"/>
  <c r="A25" i="56" s="1"/>
  <c r="A89" i="39"/>
  <c r="A30" i="18" s="1"/>
  <c r="A72" i="39"/>
  <c r="A8" i="3" s="1"/>
  <c r="A56" i="39"/>
  <c r="A39" i="39"/>
  <c r="A22" i="39"/>
  <c r="A1" i="77" s="1"/>
  <c r="A6" i="39"/>
  <c r="A227" i="39"/>
  <c r="B6" i="53" s="1"/>
  <c r="A208" i="39"/>
  <c r="A188" i="39"/>
  <c r="A164" i="39"/>
  <c r="A129" i="39"/>
  <c r="A97" i="39"/>
  <c r="A55" i="39"/>
  <c r="A13" i="39"/>
  <c r="A29" i="39"/>
  <c r="A226" i="39"/>
  <c r="A207" i="39"/>
  <c r="A191" i="39"/>
  <c r="A175" i="39"/>
  <c r="A150" i="39"/>
  <c r="A132" i="39"/>
  <c r="K61" i="72" s="1"/>
  <c r="A116" i="39"/>
  <c r="A46" i="20" s="1"/>
  <c r="A100" i="39"/>
  <c r="A82" i="39"/>
  <c r="A66" i="39"/>
  <c r="A50" i="39"/>
  <c r="A10" i="46" s="1"/>
  <c r="A28" i="39"/>
  <c r="A15" i="77" s="1"/>
  <c r="A8" i="39"/>
  <c r="A170" i="39"/>
  <c r="A49" i="74" s="1"/>
  <c r="A123" i="39"/>
  <c r="A54" i="8" s="1"/>
  <c r="A85" i="39"/>
  <c r="A40" i="39"/>
  <c r="A3" i="39"/>
  <c r="A147" i="39"/>
  <c r="A93" i="39"/>
  <c r="A36" i="3" s="1"/>
  <c r="A51" i="39"/>
  <c r="A11" i="46" s="1"/>
  <c r="A236" i="39"/>
  <c r="A45" i="72" s="1"/>
  <c r="A202" i="39"/>
  <c r="A166" i="39"/>
  <c r="A119" i="39"/>
  <c r="A49" i="58" s="1"/>
  <c r="A61" i="39"/>
  <c r="A44" i="77" s="1"/>
  <c r="A15" i="39"/>
  <c r="F583" i="1"/>
  <c r="F498" i="1"/>
  <c r="E370" i="1"/>
  <c r="E329" i="1"/>
  <c r="H29" i="72"/>
  <c r="H62" i="71"/>
  <c r="H35" i="71"/>
  <c r="H37" i="51"/>
  <c r="H66" i="31"/>
  <c r="H63" i="6"/>
  <c r="H34" i="4"/>
  <c r="H53" i="37"/>
  <c r="H29" i="37"/>
  <c r="H31" i="54"/>
  <c r="H29" i="8"/>
  <c r="H60" i="34"/>
  <c r="F195" i="1"/>
  <c r="H43" i="4"/>
  <c r="F96" i="1"/>
  <c r="H46" i="19"/>
  <c r="H45" i="48"/>
  <c r="E607" i="1"/>
  <c r="F623" i="1"/>
  <c r="F387" i="1"/>
  <c r="E387" i="1"/>
  <c r="E280" i="1"/>
  <c r="F280" i="1"/>
  <c r="E179" i="1"/>
  <c r="F179" i="1"/>
  <c r="F663" i="1"/>
  <c r="E663" i="1"/>
  <c r="E615" i="1"/>
  <c r="F615" i="1"/>
  <c r="C30" i="61"/>
  <c r="C30" i="20"/>
  <c r="C30" i="62"/>
  <c r="C30" i="19"/>
  <c r="C27" i="48"/>
  <c r="C28" i="44"/>
  <c r="E654" i="1"/>
  <c r="F654" i="1"/>
  <c r="F431" i="1"/>
  <c r="E431" i="1"/>
  <c r="F694" i="1"/>
  <c r="B24" i="57"/>
  <c r="F677" i="1"/>
  <c r="C28" i="47"/>
  <c r="C42" i="47"/>
  <c r="E684" i="1"/>
  <c r="C41" i="44"/>
  <c r="C42" i="34"/>
  <c r="C42" i="33"/>
  <c r="C51" i="31"/>
  <c r="C51" i="71"/>
  <c r="F106" i="1"/>
  <c r="E281" i="1"/>
  <c r="C26" i="48"/>
  <c r="B6" i="57"/>
  <c r="E622" i="1"/>
  <c r="E608" i="1"/>
  <c r="E324" i="1"/>
  <c r="F193" i="1"/>
  <c r="F305" i="1"/>
  <c r="H36" i="61"/>
  <c r="H42" i="33"/>
  <c r="H34" i="56"/>
  <c r="H26" i="56"/>
  <c r="H53" i="30"/>
  <c r="H36" i="78"/>
  <c r="H40" i="37"/>
  <c r="G47" i="57"/>
  <c r="H25" i="61"/>
  <c r="H30" i="46"/>
  <c r="H31" i="70"/>
  <c r="H31" i="18"/>
  <c r="H27" i="37"/>
  <c r="H32" i="55"/>
  <c r="H64" i="5"/>
  <c r="H34" i="37"/>
  <c r="H57" i="37"/>
  <c r="H35" i="51"/>
  <c r="H50" i="74"/>
  <c r="H47" i="55"/>
  <c r="H59" i="6"/>
  <c r="H36" i="30"/>
  <c r="H38" i="51"/>
  <c r="H38" i="5"/>
  <c r="H34" i="55"/>
  <c r="H29" i="6"/>
  <c r="H28" i="31"/>
  <c r="H39" i="4"/>
  <c r="H35" i="53"/>
  <c r="H64" i="54"/>
  <c r="H54" i="6"/>
  <c r="H32" i="71"/>
  <c r="H28" i="4"/>
  <c r="H62" i="30"/>
  <c r="H38" i="31"/>
  <c r="H30" i="3"/>
  <c r="H61" i="4"/>
  <c r="E514" i="1"/>
  <c r="F514" i="1"/>
  <c r="E578" i="1"/>
  <c r="F578" i="1"/>
  <c r="C64" i="51"/>
  <c r="C61" i="30"/>
  <c r="C62" i="31"/>
  <c r="E672" i="1"/>
  <c r="F672" i="1"/>
  <c r="F581" i="1"/>
  <c r="E581" i="1"/>
  <c r="C43" i="61"/>
  <c r="C49" i="47"/>
  <c r="C27" i="44"/>
  <c r="C51" i="74"/>
  <c r="E401" i="1"/>
  <c r="F269" i="1"/>
  <c r="E97" i="1"/>
  <c r="E192" i="1"/>
  <c r="H37" i="72"/>
  <c r="H54" i="30"/>
  <c r="H35" i="31"/>
  <c r="H55" i="71"/>
  <c r="H32" i="31"/>
  <c r="H38" i="71"/>
  <c r="H50" i="7"/>
  <c r="H49" i="72"/>
  <c r="H39" i="30"/>
  <c r="H36" i="6"/>
  <c r="H43" i="51"/>
  <c r="H63" i="55"/>
  <c r="H52" i="31"/>
  <c r="H65" i="54"/>
  <c r="H28" i="74"/>
  <c r="H39" i="51"/>
  <c r="H30" i="56"/>
  <c r="H33" i="5"/>
  <c r="H34" i="51"/>
  <c r="H36" i="74"/>
  <c r="H31" i="20"/>
  <c r="H28" i="48"/>
  <c r="H30" i="61"/>
  <c r="F612" i="1"/>
  <c r="B23" i="57"/>
  <c r="H43" i="71"/>
  <c r="H48" i="54"/>
  <c r="H48" i="56"/>
  <c r="H40" i="47"/>
  <c r="F679" i="1"/>
  <c r="E679" i="1"/>
  <c r="F676" i="1"/>
  <c r="E676" i="1"/>
  <c r="C64" i="78"/>
  <c r="B5" i="57"/>
  <c r="C65" i="54"/>
  <c r="C64" i="3"/>
  <c r="C65" i="30"/>
  <c r="C32" i="6"/>
  <c r="C31" i="74"/>
  <c r="C43" i="33"/>
  <c r="C54" i="78"/>
  <c r="E270" i="1"/>
  <c r="C28" i="17"/>
  <c r="C55" i="31"/>
  <c r="E359" i="1"/>
  <c r="F633" i="1"/>
  <c r="E495" i="1"/>
  <c r="F495" i="1"/>
  <c r="C31" i="31"/>
  <c r="C31" i="3"/>
  <c r="F300" i="1"/>
  <c r="E300" i="1"/>
  <c r="F185" i="1"/>
  <c r="E185" i="1"/>
  <c r="E205" i="1"/>
  <c r="F205" i="1"/>
  <c r="F208" i="1"/>
  <c r="E208" i="1"/>
  <c r="F4" i="1"/>
  <c r="E4" i="1"/>
  <c r="C27" i="47"/>
  <c r="C30" i="18"/>
  <c r="F242" i="1"/>
  <c r="E242" i="1"/>
  <c r="F689" i="1"/>
  <c r="C57" i="61"/>
  <c r="C32" i="3"/>
  <c r="E408" i="1"/>
  <c r="C29" i="8"/>
  <c r="C28" i="33"/>
  <c r="C27" i="46"/>
  <c r="C56" i="7"/>
  <c r="C50" i="37"/>
  <c r="F337" i="1"/>
  <c r="E661" i="1"/>
  <c r="C33" i="72"/>
  <c r="C30" i="70"/>
  <c r="F649" i="1"/>
  <c r="F504" i="1"/>
  <c r="F182" i="1"/>
  <c r="H49" i="81"/>
  <c r="H35" i="61"/>
  <c r="H24" i="48"/>
  <c r="H46" i="70"/>
  <c r="H35" i="19"/>
  <c r="H51" i="51"/>
  <c r="H48" i="31"/>
  <c r="H64" i="78"/>
  <c r="H43" i="30"/>
  <c r="G29" i="57"/>
  <c r="H29" i="61"/>
  <c r="H23" i="48"/>
  <c r="H28" i="46"/>
  <c r="H29" i="44"/>
  <c r="H30" i="18"/>
  <c r="H28" i="8"/>
  <c r="H62" i="53"/>
  <c r="H61" i="55"/>
  <c r="H34" i="7"/>
  <c r="H25" i="17"/>
  <c r="H30" i="19"/>
  <c r="H30" i="74"/>
  <c r="H31" i="53"/>
  <c r="H33" i="7"/>
  <c r="H49" i="74"/>
  <c r="H33" i="37"/>
  <c r="H44" i="54"/>
  <c r="H65" i="71"/>
  <c r="H30" i="30"/>
  <c r="H32" i="3"/>
  <c r="H37" i="54"/>
  <c r="H53" i="6"/>
  <c r="H36" i="7"/>
  <c r="H33" i="6"/>
  <c r="H51" i="31"/>
  <c r="H38" i="30"/>
  <c r="H36" i="4"/>
  <c r="H35" i="72"/>
  <c r="H31" i="55"/>
  <c r="H60" i="5"/>
  <c r="H48" i="6"/>
  <c r="H37" i="71"/>
  <c r="H64" i="30"/>
  <c r="H53" i="72"/>
  <c r="H59" i="4"/>
  <c r="H47" i="72"/>
  <c r="H38" i="4"/>
  <c r="H61" i="71"/>
  <c r="H39" i="3"/>
  <c r="H32" i="72"/>
  <c r="A240" i="39"/>
  <c r="A38" i="39"/>
  <c r="A221" i="39"/>
  <c r="G44" i="77" s="1"/>
  <c r="C32" i="30"/>
  <c r="C32" i="5"/>
  <c r="E375" i="1"/>
  <c r="C55" i="72"/>
  <c r="C55" i="3"/>
  <c r="F669" i="1"/>
  <c r="E362" i="1"/>
  <c r="E180" i="1"/>
  <c r="E644" i="1"/>
  <c r="E322" i="1"/>
  <c r="F661" i="1"/>
  <c r="C32" i="7"/>
  <c r="C29" i="44"/>
  <c r="J35" i="30"/>
  <c r="F30" i="1"/>
  <c r="F231" i="1"/>
  <c r="F456" i="1"/>
  <c r="E600" i="1"/>
  <c r="E394" i="1"/>
  <c r="F394" i="1"/>
  <c r="E279" i="1"/>
  <c r="F279" i="1"/>
  <c r="C34" i="61"/>
  <c r="C43" i="72"/>
  <c r="C32" i="4"/>
  <c r="F639" i="1"/>
  <c r="C28" i="18"/>
  <c r="C25" i="47"/>
  <c r="E116" i="1"/>
  <c r="F286" i="1"/>
  <c r="C31" i="37"/>
  <c r="F366" i="1"/>
  <c r="E18" i="1"/>
  <c r="F18" i="1"/>
  <c r="E707" i="1"/>
  <c r="C30" i="33"/>
  <c r="F92" i="1"/>
  <c r="E92" i="1"/>
  <c r="E176" i="1"/>
  <c r="F176" i="1"/>
  <c r="E694" i="1"/>
  <c r="F369" i="1"/>
  <c r="C41" i="46"/>
  <c r="C42" i="62"/>
  <c r="C43" i="8"/>
  <c r="H38" i="80"/>
  <c r="H49" i="78"/>
  <c r="H55" i="58"/>
  <c r="H45" i="62"/>
  <c r="H46" i="62"/>
  <c r="H49" i="46"/>
  <c r="H24" i="47"/>
  <c r="H34" i="34"/>
  <c r="H55" i="44"/>
  <c r="H35" i="44"/>
  <c r="H56" i="33"/>
  <c r="H53" i="20"/>
  <c r="H29" i="20"/>
  <c r="H48" i="20"/>
  <c r="H35" i="18"/>
  <c r="H48" i="17"/>
  <c r="H51" i="56"/>
  <c r="H36" i="17"/>
  <c r="H41" i="18"/>
  <c r="H35" i="8"/>
  <c r="H48" i="18"/>
  <c r="H51" i="17"/>
  <c r="H48" i="7"/>
  <c r="H49" i="54"/>
  <c r="H52" i="7"/>
  <c r="H52" i="71"/>
  <c r="H53" i="71"/>
  <c r="H47" i="5"/>
  <c r="H50" i="3"/>
  <c r="H32" i="30"/>
  <c r="H32" i="4"/>
  <c r="H48" i="72"/>
  <c r="H61" i="78"/>
  <c r="H40" i="78"/>
  <c r="H33" i="78"/>
  <c r="H39" i="78"/>
  <c r="H42" i="54"/>
  <c r="H43" i="7"/>
  <c r="H43" i="31"/>
  <c r="H40" i="74"/>
  <c r="H42" i="6"/>
  <c r="G19" i="57"/>
  <c r="G18" i="57"/>
  <c r="G46" i="57"/>
  <c r="G45" i="57"/>
  <c r="G44" i="57"/>
  <c r="H44" i="37"/>
  <c r="H46" i="81"/>
  <c r="H44" i="58"/>
  <c r="H51" i="62"/>
  <c r="H35" i="46"/>
  <c r="H44" i="34"/>
  <c r="H43" i="48"/>
  <c r="H38" i="44"/>
  <c r="H46" i="33"/>
  <c r="H39" i="20"/>
  <c r="H36" i="70"/>
  <c r="H53" i="8"/>
  <c r="H54" i="18"/>
  <c r="H35" i="17"/>
  <c r="H46" i="8"/>
  <c r="H52" i="17"/>
  <c r="H37" i="56"/>
  <c r="H49" i="51"/>
  <c r="H48" i="51"/>
  <c r="H46" i="31"/>
  <c r="H49" i="71"/>
  <c r="H48" i="30"/>
  <c r="H46" i="4"/>
  <c r="H48" i="4"/>
  <c r="G87" i="77"/>
  <c r="H35" i="78"/>
  <c r="H32" i="78"/>
  <c r="H42" i="7"/>
  <c r="H43" i="54"/>
  <c r="H42" i="4"/>
  <c r="H39" i="37"/>
  <c r="G21" i="57"/>
  <c r="G20" i="57"/>
  <c r="G34" i="57"/>
  <c r="G15" i="57"/>
  <c r="G28" i="57"/>
  <c r="H28" i="61"/>
  <c r="G43" i="57"/>
  <c r="H29" i="62"/>
  <c r="H29" i="46"/>
  <c r="H30" i="44"/>
  <c r="H29" i="48"/>
  <c r="H26" i="61"/>
  <c r="H25" i="46"/>
  <c r="H26" i="48"/>
  <c r="H55" i="46"/>
  <c r="H25" i="33"/>
  <c r="H29" i="33"/>
  <c r="H30" i="70"/>
  <c r="H28" i="17"/>
  <c r="H29" i="19"/>
  <c r="H26" i="17"/>
  <c r="H59" i="20"/>
  <c r="H30" i="8"/>
  <c r="H25" i="56"/>
  <c r="H35" i="74"/>
  <c r="H36" i="37"/>
  <c r="H65" i="53"/>
  <c r="H46" i="53"/>
  <c r="H32" i="53"/>
  <c r="H40" i="51"/>
  <c r="H60" i="55"/>
  <c r="H33" i="55"/>
  <c r="H62" i="7"/>
  <c r="H35" i="7"/>
  <c r="H38" i="54"/>
  <c r="H53" i="78"/>
  <c r="H37" i="61"/>
  <c r="H45" i="46"/>
  <c r="H49" i="34"/>
  <c r="H51" i="44"/>
  <c r="H40" i="33"/>
  <c r="H27" i="20"/>
  <c r="H44" i="20"/>
  <c r="H44" i="19"/>
  <c r="H57" i="19"/>
  <c r="H40" i="8"/>
  <c r="H53" i="56"/>
  <c r="H47" i="51"/>
  <c r="H48" i="5"/>
  <c r="H45" i="6"/>
  <c r="H52" i="4"/>
  <c r="H46" i="3"/>
  <c r="H52" i="72"/>
  <c r="H38" i="78"/>
  <c r="H34" i="78"/>
  <c r="H42" i="30"/>
  <c r="H42" i="31"/>
  <c r="H44" i="72"/>
  <c r="H54" i="53"/>
  <c r="G22" i="57"/>
  <c r="G33" i="57"/>
  <c r="G13" i="57"/>
  <c r="H60" i="61"/>
  <c r="H31" i="62"/>
  <c r="H30" i="62"/>
  <c r="H57" i="48"/>
  <c r="H27" i="46"/>
  <c r="H27" i="44"/>
  <c r="H27" i="47"/>
  <c r="H30" i="34"/>
  <c r="H30" i="33"/>
  <c r="H28" i="33"/>
  <c r="H30" i="17"/>
  <c r="H31" i="19"/>
  <c r="H28" i="19"/>
  <c r="H31" i="17"/>
  <c r="H31" i="56"/>
  <c r="H27" i="74"/>
  <c r="H32" i="37"/>
  <c r="H48" i="53"/>
  <c r="H69" i="51"/>
  <c r="H33" i="51"/>
  <c r="H35" i="55"/>
  <c r="H61" i="7"/>
  <c r="H29" i="7"/>
  <c r="H30" i="54"/>
  <c r="H36" i="5"/>
  <c r="H29" i="18"/>
  <c r="H31" i="74"/>
  <c r="H31" i="37"/>
  <c r="H26" i="8"/>
  <c r="H28" i="56"/>
  <c r="H29" i="74"/>
  <c r="H30" i="37"/>
  <c r="H37" i="53"/>
  <c r="H67" i="51"/>
  <c r="H32" i="51"/>
  <c r="H38" i="7"/>
  <c r="H67" i="54"/>
  <c r="H52" i="74"/>
  <c r="H48" i="74"/>
  <c r="H63" i="37"/>
  <c r="H50" i="37"/>
  <c r="H42" i="51"/>
  <c r="H56" i="7"/>
  <c r="H60" i="54"/>
  <c r="H32" i="5"/>
  <c r="H38" i="6"/>
  <c r="H64" i="71"/>
  <c r="H63" i="31"/>
  <c r="H37" i="30"/>
  <c r="H50" i="4"/>
  <c r="H63" i="3"/>
  <c r="H51" i="3"/>
  <c r="H36" i="53"/>
  <c r="H38" i="55"/>
  <c r="E474" i="1"/>
  <c r="F474" i="1"/>
  <c r="E331" i="1"/>
  <c r="F331" i="1"/>
  <c r="E405" i="1"/>
  <c r="F405" i="1"/>
  <c r="E334" i="1"/>
  <c r="F334" i="1"/>
  <c r="E664" i="1"/>
  <c r="F664" i="1"/>
  <c r="C32" i="54"/>
  <c r="H45" i="72"/>
  <c r="H35" i="3"/>
  <c r="H63" i="4"/>
  <c r="H49" i="31"/>
  <c r="H30" i="72"/>
  <c r="H30" i="4"/>
  <c r="H60" i="4"/>
  <c r="H39" i="31"/>
  <c r="H43" i="3"/>
  <c r="H55" i="3"/>
  <c r="H65" i="30"/>
  <c r="H67" i="71"/>
  <c r="H28" i="3"/>
  <c r="H37" i="4"/>
  <c r="H36" i="31"/>
  <c r="H33" i="71"/>
  <c r="H68" i="31"/>
  <c r="H39" i="71"/>
  <c r="H61" i="6"/>
  <c r="H34" i="5"/>
  <c r="H35" i="54"/>
  <c r="H65" i="7"/>
  <c r="H39" i="55"/>
  <c r="H40" i="53"/>
  <c r="H38" i="72"/>
  <c r="H53" i="3"/>
  <c r="H51" i="4"/>
  <c r="H33" i="30"/>
  <c r="H60" i="30"/>
  <c r="H33" i="31"/>
  <c r="H30" i="71"/>
  <c r="H31" i="6"/>
  <c r="H37" i="6"/>
  <c r="H29" i="54"/>
  <c r="H46" i="55"/>
  <c r="H65" i="51"/>
  <c r="H64" i="6"/>
  <c r="H66" i="5"/>
  <c r="H32" i="7"/>
  <c r="H39" i="53"/>
  <c r="H60" i="3"/>
  <c r="H35" i="4"/>
  <c r="H67" i="30"/>
  <c r="H29" i="71"/>
  <c r="H35" i="6"/>
  <c r="H61" i="5"/>
  <c r="H39" i="7"/>
  <c r="H49" i="55"/>
  <c r="H51" i="37"/>
  <c r="H32" i="74"/>
  <c r="H51" i="74"/>
  <c r="H30" i="7"/>
  <c r="H40" i="55"/>
  <c r="H41" i="51"/>
  <c r="H47" i="53"/>
  <c r="H64" i="37"/>
  <c r="H61" i="74"/>
  <c r="H31" i="8"/>
  <c r="H66" i="37"/>
  <c r="H61" i="8"/>
  <c r="H37" i="5"/>
  <c r="H36" i="54"/>
  <c r="H44" i="7"/>
  <c r="H41" i="55"/>
  <c r="H63" i="51"/>
  <c r="H41" i="53"/>
  <c r="H35" i="37"/>
  <c r="H46" i="74"/>
  <c r="H28" i="18"/>
  <c r="H62" i="17"/>
  <c r="H27" i="17"/>
  <c r="H59" i="70"/>
  <c r="H59" i="33"/>
  <c r="H25" i="47"/>
  <c r="H26" i="62"/>
  <c r="H28" i="44"/>
  <c r="H27" i="62"/>
  <c r="H25" i="62"/>
  <c r="F466" i="1"/>
  <c r="G36" i="57"/>
  <c r="G24" i="57"/>
  <c r="H42" i="3"/>
  <c r="H42" i="71"/>
  <c r="H41" i="78"/>
  <c r="H37" i="78"/>
  <c r="H50" i="72"/>
  <c r="H45" i="3"/>
  <c r="H45" i="31"/>
  <c r="H53" i="51"/>
  <c r="H37" i="17"/>
  <c r="H41" i="8"/>
  <c r="H35" i="56"/>
  <c r="H57" i="18"/>
  <c r="H47" i="20"/>
  <c r="H27" i="33"/>
  <c r="H42" i="34"/>
  <c r="H39" i="62"/>
  <c r="H42" i="61"/>
  <c r="H47" i="80"/>
  <c r="E392" i="1"/>
  <c r="H46" i="72"/>
  <c r="H38" i="3"/>
  <c r="H34" i="30"/>
  <c r="H55" i="31"/>
  <c r="H34" i="72"/>
  <c r="H31" i="4"/>
  <c r="H49" i="30"/>
  <c r="H61" i="31"/>
  <c r="H34" i="3"/>
  <c r="H64" i="3"/>
  <c r="H54" i="31"/>
  <c r="H31" i="72"/>
  <c r="H29" i="3"/>
  <c r="H64" i="4"/>
  <c r="H37" i="31"/>
  <c r="H36" i="71"/>
  <c r="H34" i="71"/>
  <c r="H51" i="71"/>
  <c r="H28" i="5"/>
  <c r="H35" i="5"/>
  <c r="H39" i="54"/>
  <c r="H30" i="55"/>
  <c r="H65" i="55"/>
  <c r="H33" i="72"/>
  <c r="H54" i="72"/>
  <c r="H33" i="4"/>
  <c r="H28" i="30"/>
  <c r="H35" i="30"/>
  <c r="H61" i="30"/>
  <c r="H50" i="31"/>
  <c r="H60" i="71"/>
  <c r="H32" i="6"/>
  <c r="H66" i="6"/>
  <c r="H51" i="54"/>
  <c r="H48" i="55"/>
  <c r="H45" i="53"/>
  <c r="H30" i="5"/>
  <c r="H33" i="54"/>
  <c r="H54" i="55"/>
  <c r="H39" i="72"/>
  <c r="H61" i="3"/>
  <c r="H66" i="4"/>
  <c r="H34" i="31"/>
  <c r="H31" i="71"/>
  <c r="H39" i="6"/>
  <c r="H32" i="54"/>
  <c r="H51" i="7"/>
  <c r="H28" i="37"/>
  <c r="H52" i="37"/>
  <c r="H33" i="74"/>
  <c r="H32" i="8"/>
  <c r="H31" i="7"/>
  <c r="H31" i="51"/>
  <c r="H30" i="53"/>
  <c r="H67" i="53"/>
  <c r="H69" i="37"/>
  <c r="H29" i="56"/>
  <c r="H25" i="19"/>
  <c r="H67" i="37"/>
  <c r="H26" i="19"/>
  <c r="H63" i="5"/>
  <c r="H28" i="7"/>
  <c r="H63" i="7"/>
  <c r="H59" i="55"/>
  <c r="H64" i="51"/>
  <c r="H49" i="53"/>
  <c r="H47" i="37"/>
  <c r="H47" i="74"/>
  <c r="H30" i="20"/>
  <c r="H31" i="33"/>
  <c r="H29" i="17"/>
  <c r="H24" i="44"/>
  <c r="H58" i="44"/>
  <c r="H26" i="47"/>
  <c r="H27" i="48"/>
  <c r="H31" i="34"/>
  <c r="H28" i="62"/>
  <c r="H27" i="61"/>
  <c r="G37" i="57"/>
  <c r="F693" i="1"/>
  <c r="G23" i="57"/>
  <c r="H43" i="72"/>
  <c r="H43" i="6"/>
  <c r="H39" i="74"/>
  <c r="H66" i="78"/>
  <c r="H30" i="78"/>
  <c r="H52" i="3"/>
  <c r="H30" i="31"/>
  <c r="H46" i="71"/>
  <c r="H46" i="51"/>
  <c r="H44" i="18"/>
  <c r="H45" i="18"/>
  <c r="H50" i="18"/>
  <c r="H41" i="70"/>
  <c r="H34" i="70"/>
  <c r="H50" i="44"/>
  <c r="H32" i="47"/>
  <c r="H43" i="62"/>
  <c r="E668" i="1"/>
  <c r="F668" i="1"/>
  <c r="E243" i="1"/>
  <c r="F243" i="1"/>
  <c r="E696" i="1"/>
  <c r="A248" i="39"/>
  <c r="A241" i="39"/>
  <c r="A55" i="56" s="1"/>
  <c r="A231" i="39"/>
  <c r="A159" i="39"/>
  <c r="A222" i="39"/>
  <c r="K50" i="77" s="1"/>
  <c r="A230" i="39"/>
  <c r="A228" i="39"/>
  <c r="A90" i="39"/>
  <c r="A55" i="3" s="1"/>
  <c r="A215" i="39"/>
  <c r="A239" i="39"/>
  <c r="C40" i="18"/>
  <c r="C40" i="61"/>
  <c r="E21" i="1"/>
  <c r="F26" i="1"/>
  <c r="F232" i="1"/>
  <c r="F29" i="20"/>
  <c r="G29" i="20" s="1"/>
  <c r="F31" i="7"/>
  <c r="G31" i="7" s="1"/>
  <c r="F33" i="55"/>
  <c r="G33" i="55" s="1"/>
  <c r="F37" i="1"/>
  <c r="F252" i="1"/>
  <c r="E369" i="1"/>
  <c r="F382" i="1"/>
  <c r="F576" i="1"/>
  <c r="E593" i="1"/>
  <c r="F631" i="1"/>
  <c r="E659" i="1"/>
  <c r="E283" i="1"/>
  <c r="C50" i="5"/>
  <c r="C42" i="20"/>
  <c r="A43" i="58"/>
  <c r="A43" i="20"/>
  <c r="K35" i="4"/>
  <c r="J35" i="4"/>
  <c r="F45" i="1"/>
  <c r="E45" i="1"/>
  <c r="F9" i="1"/>
  <c r="E9" i="1"/>
  <c r="F411" i="1"/>
  <c r="H43" i="81"/>
  <c r="H42" i="80"/>
  <c r="H45" i="81"/>
  <c r="H46" i="80"/>
  <c r="H50" i="78"/>
  <c r="H48" i="62"/>
  <c r="H30" i="58"/>
  <c r="H57" i="61"/>
  <c r="H25" i="58"/>
  <c r="H36" i="62"/>
  <c r="H47" i="58"/>
  <c r="H51" i="58"/>
  <c r="H43" i="46"/>
  <c r="H34" i="46"/>
  <c r="H23" i="47"/>
  <c r="H37" i="47"/>
  <c r="H27" i="34"/>
  <c r="H29" i="34"/>
  <c r="H41" i="34"/>
  <c r="H53" i="48"/>
  <c r="H38" i="48"/>
  <c r="H54" i="48"/>
  <c r="H49" i="44"/>
  <c r="H42" i="44"/>
  <c r="H33" i="44"/>
  <c r="H53" i="33"/>
  <c r="H37" i="33"/>
  <c r="H54" i="33"/>
  <c r="H49" i="6"/>
  <c r="H27" i="70"/>
  <c r="H45" i="20"/>
  <c r="H37" i="20"/>
  <c r="H47" i="70"/>
  <c r="H25" i="20"/>
  <c r="H25" i="70"/>
  <c r="H53" i="70"/>
  <c r="H53" i="19"/>
  <c r="H51" i="18"/>
  <c r="H49" i="8"/>
  <c r="H42" i="56"/>
  <c r="H44" i="17"/>
  <c r="H42" i="19"/>
  <c r="H40" i="18"/>
  <c r="H47" i="56"/>
  <c r="H57" i="17"/>
  <c r="H26" i="18"/>
  <c r="H51" i="19"/>
  <c r="H56" i="18"/>
  <c r="H54" i="8"/>
  <c r="H44" i="8"/>
  <c r="H39" i="8"/>
  <c r="H50" i="56"/>
  <c r="H54" i="17"/>
  <c r="H40" i="19"/>
  <c r="H38" i="18"/>
  <c r="H49" i="56"/>
  <c r="H56" i="17"/>
  <c r="H38" i="17"/>
  <c r="H55" i="7"/>
  <c r="H47" i="7"/>
  <c r="H51" i="55"/>
  <c r="H53" i="54"/>
  <c r="H50" i="55"/>
  <c r="H55" i="54"/>
  <c r="H54" i="54"/>
  <c r="H51" i="6"/>
  <c r="H29" i="31"/>
  <c r="H48" i="71"/>
  <c r="H46" i="37"/>
  <c r="H41" i="81"/>
  <c r="H40" i="80"/>
  <c r="H29" i="81"/>
  <c r="H47" i="78"/>
  <c r="H51" i="80"/>
  <c r="H55" i="62"/>
  <c r="H44" i="62"/>
  <c r="H29" i="58"/>
  <c r="H41" i="61"/>
  <c r="H50" i="61"/>
  <c r="H60" i="62"/>
  <c r="H35" i="58"/>
  <c r="H47" i="62"/>
  <c r="H41" i="46"/>
  <c r="H51" i="46"/>
  <c r="H49" i="47"/>
  <c r="H36" i="47"/>
  <c r="H52" i="34"/>
  <c r="H53" i="34"/>
  <c r="H40" i="34"/>
  <c r="H51" i="48"/>
  <c r="H37" i="48"/>
  <c r="H46" i="48"/>
  <c r="H26" i="44"/>
  <c r="H41" i="44"/>
  <c r="H56" i="8"/>
  <c r="H45" i="33"/>
  <c r="H36" i="33"/>
  <c r="H52" i="33"/>
  <c r="H44" i="70"/>
  <c r="H26" i="20"/>
  <c r="H43" i="20"/>
  <c r="H35" i="20"/>
  <c r="H43" i="70"/>
  <c r="H54" i="70"/>
  <c r="H52" i="20"/>
  <c r="H49" i="70"/>
  <c r="H49" i="19"/>
  <c r="H39" i="18"/>
  <c r="H45" i="8"/>
  <c r="H38" i="56"/>
  <c r="H42" i="17"/>
  <c r="H34" i="19"/>
  <c r="H36" i="18"/>
  <c r="H43" i="56"/>
  <c r="H43" i="17"/>
  <c r="H40" i="17"/>
  <c r="H47" i="19"/>
  <c r="H49" i="18"/>
  <c r="H52" i="8"/>
  <c r="H43" i="8"/>
  <c r="H37" i="8"/>
  <c r="H46" i="56"/>
  <c r="H46" i="17"/>
  <c r="H52" i="18"/>
  <c r="H34" i="18"/>
  <c r="H45" i="56"/>
  <c r="H45" i="17"/>
  <c r="H34" i="17"/>
  <c r="H54" i="7"/>
  <c r="H45" i="7"/>
  <c r="H45" i="55"/>
  <c r="H47" i="54"/>
  <c r="H44" i="55"/>
  <c r="H49" i="5"/>
  <c r="H53" i="5"/>
  <c r="H44" i="6"/>
  <c r="H54" i="5"/>
  <c r="H47" i="31"/>
  <c r="H30" i="6"/>
  <c r="H45" i="71"/>
  <c r="H52" i="5"/>
  <c r="H52" i="30"/>
  <c r="H48" i="3"/>
  <c r="H53" i="4"/>
  <c r="H46" i="30"/>
  <c r="H47" i="3"/>
  <c r="H51" i="72"/>
  <c r="A247" i="39"/>
  <c r="A245" i="39"/>
  <c r="A14" i="5" s="1"/>
  <c r="A46" i="39"/>
  <c r="B5" i="62" s="1"/>
  <c r="A244" i="39"/>
  <c r="F14" i="1"/>
  <c r="E502" i="1"/>
  <c r="F17" i="1"/>
  <c r="H54" i="3"/>
  <c r="H45" i="30"/>
  <c r="H45" i="4"/>
  <c r="H43" i="5"/>
  <c r="H56" i="31"/>
  <c r="H42" i="5"/>
  <c r="H45" i="5"/>
  <c r="H51" i="5"/>
  <c r="H57" i="51"/>
  <c r="H50" i="51"/>
  <c r="H49" i="7"/>
  <c r="H41" i="17"/>
  <c r="H58" i="8"/>
  <c r="H50" i="19"/>
  <c r="H36" i="8"/>
  <c r="H50" i="8"/>
  <c r="H39" i="19"/>
  <c r="H39" i="17"/>
  <c r="H57" i="8"/>
  <c r="H48" i="19"/>
  <c r="H52" i="56"/>
  <c r="H37" i="19"/>
  <c r="H50" i="20"/>
  <c r="H39" i="70"/>
  <c r="H40" i="20"/>
  <c r="H42" i="70"/>
  <c r="H34" i="33"/>
  <c r="H55" i="56"/>
  <c r="H52" i="44"/>
  <c r="H35" i="48"/>
  <c r="H36" i="34"/>
  <c r="H50" i="34"/>
  <c r="H45" i="47"/>
  <c r="H38" i="46"/>
  <c r="H54" i="62"/>
  <c r="H46" i="61"/>
  <c r="H37" i="58"/>
  <c r="H52" i="61"/>
  <c r="H26" i="80"/>
  <c r="H31" i="80"/>
  <c r="H57" i="74"/>
  <c r="F207" i="1"/>
  <c r="E110" i="1"/>
  <c r="C42" i="5"/>
  <c r="F330" i="1"/>
  <c r="F396" i="1"/>
  <c r="E438" i="1"/>
  <c r="C34" i="78"/>
  <c r="C34" i="53"/>
  <c r="C34" i="55"/>
  <c r="C35" i="51"/>
  <c r="F378" i="1"/>
  <c r="E378" i="1"/>
  <c r="E317" i="1"/>
  <c r="F317" i="1"/>
  <c r="C43" i="3"/>
  <c r="C40" i="37"/>
  <c r="C43" i="4"/>
  <c r="E670" i="1"/>
  <c r="F670" i="1"/>
  <c r="E646" i="1"/>
  <c r="F646" i="1"/>
  <c r="E658" i="1"/>
  <c r="F658" i="1"/>
  <c r="E641" i="1"/>
  <c r="F641" i="1"/>
  <c r="F653" i="1"/>
  <c r="E653" i="1"/>
  <c r="E638" i="1"/>
  <c r="F638" i="1"/>
  <c r="F660" i="1"/>
  <c r="C30" i="74"/>
  <c r="E660" i="1"/>
  <c r="F95" i="1"/>
  <c r="E95" i="1"/>
  <c r="F424" i="1"/>
  <c r="E424" i="1"/>
  <c r="E274" i="1"/>
  <c r="F274" i="1"/>
  <c r="F419" i="1"/>
  <c r="E419" i="1"/>
  <c r="E177" i="1"/>
  <c r="F177" i="1"/>
  <c r="E432" i="1"/>
  <c r="F432" i="1"/>
  <c r="E594" i="1"/>
  <c r="F594" i="1"/>
  <c r="E584" i="1"/>
  <c r="F584" i="1"/>
  <c r="F23" i="1"/>
  <c r="E23" i="1"/>
  <c r="F35" i="1"/>
  <c r="E35" i="1"/>
  <c r="F616" i="1"/>
  <c r="E616" i="1"/>
  <c r="E627" i="1"/>
  <c r="F627" i="1"/>
  <c r="E625" i="1"/>
  <c r="F625" i="1"/>
  <c r="E697" i="1"/>
  <c r="C35" i="53"/>
  <c r="C32" i="37"/>
  <c r="C33" i="7"/>
  <c r="C33" i="6"/>
  <c r="F695" i="1"/>
  <c r="C33" i="54"/>
  <c r="C35" i="55"/>
  <c r="C33" i="30"/>
  <c r="E700" i="1"/>
  <c r="C33" i="3"/>
  <c r="C32" i="74"/>
  <c r="C33" i="4"/>
  <c r="C37" i="51"/>
  <c r="C33" i="71"/>
  <c r="C33" i="5"/>
  <c r="E671" i="1"/>
  <c r="F671" i="1"/>
  <c r="E246" i="1"/>
  <c r="F246" i="1"/>
  <c r="E458" i="1"/>
  <c r="F458" i="1"/>
  <c r="F11" i="1"/>
  <c r="F284" i="1"/>
  <c r="E278" i="1"/>
  <c r="E183" i="1"/>
  <c r="E33" i="1"/>
  <c r="E465" i="1"/>
  <c r="F465" i="1"/>
  <c r="E464" i="1"/>
  <c r="F464" i="1"/>
  <c r="F390" i="1"/>
  <c r="E390" i="1"/>
  <c r="F318" i="1"/>
  <c r="E318" i="1"/>
  <c r="E316" i="1"/>
  <c r="F316" i="1"/>
  <c r="F494" i="1"/>
  <c r="E494" i="1"/>
  <c r="F443" i="1"/>
  <c r="E443" i="1"/>
  <c r="F365" i="1"/>
  <c r="E365" i="1"/>
  <c r="E351" i="1"/>
  <c r="F351" i="1"/>
  <c r="F287" i="1"/>
  <c r="F360" i="1"/>
  <c r="E360" i="1"/>
  <c r="F648" i="1"/>
  <c r="E648" i="1"/>
  <c r="F643" i="1"/>
  <c r="E643" i="1"/>
  <c r="E651" i="1"/>
  <c r="F651" i="1"/>
  <c r="E636" i="1"/>
  <c r="F636" i="1"/>
  <c r="F437" i="1"/>
  <c r="E437" i="1"/>
  <c r="F99" i="1"/>
  <c r="E99" i="1"/>
  <c r="E268" i="1"/>
  <c r="F268" i="1"/>
  <c r="E210" i="1"/>
  <c r="F210" i="1"/>
  <c r="E188" i="1"/>
  <c r="F188" i="1"/>
  <c r="F592" i="1"/>
  <c r="E592" i="1"/>
  <c r="F446" i="1"/>
  <c r="E446" i="1"/>
  <c r="C28" i="58"/>
  <c r="C28" i="62"/>
  <c r="F10" i="1"/>
  <c r="C28" i="61"/>
  <c r="F388" i="1"/>
  <c r="E395" i="1"/>
  <c r="F690" i="1"/>
  <c r="J4" i="1"/>
  <c r="C597" i="1" s="1"/>
  <c r="J13" i="1"/>
  <c r="E43" i="56"/>
  <c r="F43" i="56" s="1"/>
  <c r="G43" i="56" s="1"/>
  <c r="E43" i="62"/>
  <c r="F43" i="62" s="1"/>
  <c r="G43" i="62" s="1"/>
  <c r="C43" i="46"/>
  <c r="E687" i="1"/>
  <c r="B21" i="57"/>
  <c r="F691" i="1"/>
  <c r="E65" i="7"/>
  <c r="F65" i="7" s="1"/>
  <c r="G65" i="7" s="1"/>
  <c r="E64" i="30"/>
  <c r="F64" i="30" s="1"/>
  <c r="G64" i="30" s="1"/>
  <c r="E64" i="71"/>
  <c r="F64" i="71" s="1"/>
  <c r="G64" i="71" s="1"/>
  <c r="E63" i="5"/>
  <c r="F63" i="5" s="1"/>
  <c r="G63" i="5" s="1"/>
  <c r="E63" i="4"/>
  <c r="F63" i="4" s="1"/>
  <c r="G63" i="4" s="1"/>
  <c r="F244" i="1"/>
  <c r="E267" i="1"/>
  <c r="F321" i="1"/>
  <c r="E332" i="1"/>
  <c r="E690" i="1"/>
  <c r="C43" i="20"/>
  <c r="E467" i="1"/>
  <c r="E364" i="1"/>
  <c r="E327" i="1"/>
  <c r="E319" i="1"/>
  <c r="E245" i="1"/>
  <c r="E262" i="1"/>
  <c r="E301" i="1"/>
  <c r="E309" i="1"/>
  <c r="E629" i="1"/>
  <c r="C45" i="4"/>
  <c r="E105" i="1"/>
  <c r="F105" i="1"/>
  <c r="C33" i="78"/>
  <c r="C33" i="53"/>
  <c r="C29" i="33"/>
  <c r="C29" i="18"/>
  <c r="C37" i="18"/>
  <c r="F43" i="1"/>
  <c r="E43" i="1"/>
  <c r="C44" i="80"/>
  <c r="C44" i="81"/>
  <c r="C48" i="6"/>
  <c r="H43" i="74"/>
  <c r="H42" i="81"/>
  <c r="H56" i="80"/>
  <c r="H27" i="80"/>
  <c r="H27" i="81"/>
  <c r="H37" i="80"/>
  <c r="H47" i="81"/>
  <c r="H54" i="78"/>
  <c r="H51" i="53"/>
  <c r="H34" i="61"/>
  <c r="H48" i="58"/>
  <c r="H54" i="58"/>
  <c r="H45" i="61"/>
  <c r="H37" i="62"/>
  <c r="H43" i="61"/>
  <c r="H36" i="58"/>
  <c r="H43" i="58"/>
  <c r="H50" i="58"/>
  <c r="H46" i="46"/>
  <c r="H39" i="46"/>
  <c r="H33" i="46"/>
  <c r="H44" i="47"/>
  <c r="H43" i="47"/>
  <c r="H34" i="47"/>
  <c r="H54" i="34"/>
  <c r="H28" i="34"/>
  <c r="H47" i="34"/>
  <c r="H37" i="34"/>
  <c r="H44" i="48"/>
  <c r="H41" i="48"/>
  <c r="H33" i="48"/>
  <c r="H42" i="48"/>
  <c r="H45" i="44"/>
  <c r="H44" i="44"/>
  <c r="H37" i="44"/>
  <c r="H55" i="17"/>
  <c r="H47" i="33"/>
  <c r="H38" i="33"/>
  <c r="H44" i="33"/>
  <c r="H50" i="33"/>
  <c r="H48" i="70"/>
  <c r="H29" i="70"/>
  <c r="H51" i="20"/>
  <c r="H41" i="20"/>
  <c r="H36" i="20"/>
  <c r="H56" i="70"/>
  <c r="H28" i="70"/>
  <c r="H50" i="70"/>
  <c r="H55" i="20"/>
  <c r="H55" i="70"/>
  <c r="H37" i="70"/>
  <c r="H45" i="19"/>
  <c r="H43" i="18"/>
  <c r="H51" i="8"/>
  <c r="F201" i="1"/>
  <c r="E209" i="1"/>
  <c r="F304" i="1"/>
  <c r="E445" i="1"/>
  <c r="F606" i="1"/>
  <c r="E38" i="1"/>
  <c r="F335" i="1"/>
  <c r="F452" i="1"/>
  <c r="C49" i="5"/>
  <c r="C42" i="8"/>
  <c r="C49" i="6"/>
  <c r="C41" i="34"/>
  <c r="A37" i="17"/>
  <c r="A37" i="58"/>
  <c r="A52" i="48"/>
  <c r="A54" i="17"/>
  <c r="C53" i="6"/>
  <c r="C56" i="19"/>
  <c r="C44" i="54"/>
  <c r="C46" i="55"/>
  <c r="C46" i="53"/>
  <c r="C44" i="7"/>
  <c r="C37" i="80"/>
  <c r="C49" i="31"/>
  <c r="E573" i="1"/>
  <c r="F573" i="1"/>
  <c r="F577" i="1"/>
  <c r="E577" i="1"/>
  <c r="C61" i="78"/>
  <c r="C62" i="53"/>
  <c r="F674" i="1"/>
  <c r="E674" i="1"/>
  <c r="F568" i="1"/>
  <c r="E568" i="1"/>
  <c r="E558" i="1"/>
  <c r="F558" i="1"/>
  <c r="F544" i="1"/>
  <c r="E544" i="1"/>
  <c r="F542" i="1"/>
  <c r="E542" i="1"/>
  <c r="E522" i="1"/>
  <c r="F522" i="1"/>
  <c r="F540" i="1"/>
  <c r="E540" i="1"/>
  <c r="E523" i="1"/>
  <c r="F523" i="1"/>
  <c r="E524" i="1"/>
  <c r="F524" i="1"/>
  <c r="F579" i="1"/>
  <c r="E579" i="1"/>
  <c r="C35" i="47"/>
  <c r="C46" i="31"/>
  <c r="C38" i="62"/>
  <c r="C47" i="7"/>
  <c r="C36" i="48"/>
  <c r="C46" i="30"/>
  <c r="C39" i="8"/>
  <c r="C38" i="70"/>
  <c r="C38" i="34"/>
  <c r="C46" i="71"/>
  <c r="C50" i="72"/>
  <c r="C36" i="70"/>
  <c r="C44" i="30"/>
  <c r="C44" i="4"/>
  <c r="C48" i="72"/>
  <c r="C36" i="19"/>
  <c r="C50" i="53"/>
  <c r="C36" i="18"/>
  <c r="C36" i="58"/>
  <c r="C35" i="46"/>
  <c r="C41" i="37"/>
  <c r="C45" i="54"/>
  <c r="C37" i="48"/>
  <c r="C39" i="17"/>
  <c r="C36" i="47"/>
  <c r="C40" i="8"/>
  <c r="C47" i="4"/>
  <c r="C44" i="74"/>
  <c r="C39" i="61"/>
  <c r="C48" i="7"/>
  <c r="C51" i="72"/>
  <c r="C48" i="54"/>
  <c r="C52" i="78"/>
  <c r="C39" i="34"/>
  <c r="C39" i="62"/>
  <c r="C47" i="5"/>
  <c r="C61" i="55"/>
  <c r="C61" i="3"/>
  <c r="C62" i="54"/>
  <c r="C63" i="7"/>
  <c r="C62" i="71"/>
  <c r="C61" i="5"/>
  <c r="C63" i="31"/>
  <c r="C65" i="51"/>
  <c r="C61" i="4"/>
  <c r="C62" i="30"/>
  <c r="C61" i="6"/>
  <c r="C59" i="5"/>
  <c r="C60" i="71"/>
  <c r="C59" i="6"/>
  <c r="C63" i="51"/>
  <c r="C61" i="31"/>
  <c r="C59" i="3"/>
  <c r="C59" i="55"/>
  <c r="C59" i="4"/>
  <c r="C61" i="7"/>
  <c r="C60" i="30"/>
  <c r="C60" i="54"/>
  <c r="C53" i="4"/>
  <c r="C55" i="54"/>
  <c r="C52" i="74"/>
  <c r="C36" i="37"/>
  <c r="C35" i="3"/>
  <c r="C35" i="5"/>
  <c r="C39" i="51"/>
  <c r="C56" i="72"/>
  <c r="C55" i="7"/>
  <c r="C53" i="37"/>
  <c r="C55" i="71"/>
  <c r="C54" i="6"/>
  <c r="C35" i="71"/>
  <c r="C35" i="7"/>
  <c r="C36" i="72"/>
  <c r="C54" i="31"/>
  <c r="C35" i="30"/>
  <c r="C37" i="55"/>
  <c r="C53" i="3"/>
  <c r="C54" i="55"/>
  <c r="C35" i="4"/>
  <c r="C35" i="54"/>
  <c r="F675" i="1"/>
  <c r="C29" i="48"/>
  <c r="E675" i="1"/>
  <c r="F682" i="1"/>
  <c r="E682" i="1"/>
  <c r="C45" i="46"/>
  <c r="E685" i="1"/>
  <c r="B22" i="57"/>
  <c r="E692" i="1"/>
  <c r="F692" i="1"/>
  <c r="A8" i="58"/>
  <c r="A13" i="5"/>
  <c r="A13" i="30"/>
  <c r="A54" i="18"/>
  <c r="C36" i="74"/>
  <c r="F561" i="1"/>
  <c r="E603" i="1"/>
  <c r="J33" i="30"/>
  <c r="K33" i="30"/>
  <c r="E52" i="46"/>
  <c r="F52" i="46" s="1"/>
  <c r="G52" i="46" s="1"/>
  <c r="E57" i="62"/>
  <c r="F57" i="62" s="1"/>
  <c r="G57" i="62" s="1"/>
  <c r="H42" i="37"/>
  <c r="H41" i="74"/>
  <c r="H52" i="80"/>
  <c r="H44" i="80"/>
  <c r="H30" i="80"/>
  <c r="H30" i="81"/>
  <c r="H50" i="81"/>
  <c r="H35" i="80"/>
  <c r="H32" i="80"/>
  <c r="H36" i="80"/>
  <c r="H52" i="53"/>
  <c r="H38" i="61"/>
  <c r="H38" i="62"/>
  <c r="H34" i="58"/>
  <c r="H49" i="58"/>
  <c r="H56" i="61"/>
  <c r="H49" i="62"/>
  <c r="H54" i="61"/>
  <c r="H39" i="61"/>
  <c r="H52" i="58"/>
  <c r="H56" i="58"/>
  <c r="H55" i="61"/>
  <c r="H46" i="58"/>
  <c r="H48" i="46"/>
  <c r="H42" i="46"/>
  <c r="H37" i="46"/>
  <c r="H52" i="46"/>
  <c r="H46" i="47"/>
  <c r="H48" i="47"/>
  <c r="H38" i="47"/>
  <c r="H33" i="47"/>
  <c r="H57" i="34"/>
  <c r="H46" i="34"/>
  <c r="H25" i="34"/>
  <c r="H45" i="34"/>
  <c r="H38" i="34"/>
  <c r="H25" i="48"/>
  <c r="H49" i="48"/>
  <c r="H39" i="48"/>
  <c r="H34" i="48"/>
  <c r="H52" i="48"/>
  <c r="H53" i="44"/>
  <c r="H43" i="44"/>
  <c r="H48" i="44"/>
  <c r="H39" i="44"/>
  <c r="H34" i="44"/>
  <c r="H55" i="19"/>
  <c r="H49" i="33"/>
  <c r="H41" i="33"/>
  <c r="F299" i="1"/>
  <c r="E413" i="1"/>
  <c r="F435" i="1"/>
  <c r="C29" i="70"/>
  <c r="F704" i="1"/>
  <c r="C28" i="34"/>
  <c r="C28" i="70"/>
  <c r="E19" i="1"/>
  <c r="F19" i="1"/>
  <c r="E333" i="1"/>
  <c r="E35" i="78"/>
  <c r="F35" i="78" s="1"/>
  <c r="G35" i="78" s="1"/>
  <c r="F30" i="37"/>
  <c r="G30" i="37" s="1"/>
  <c r="F20" i="1"/>
  <c r="E115" i="1"/>
  <c r="F227" i="1"/>
  <c r="F198" i="1"/>
  <c r="F571" i="1"/>
  <c r="F588" i="1"/>
  <c r="E610" i="1"/>
  <c r="C56" i="58"/>
  <c r="C57" i="19"/>
  <c r="C58" i="74"/>
  <c r="C59" i="37"/>
  <c r="F33" i="78"/>
  <c r="G33" i="78" s="1"/>
  <c r="E24" i="1"/>
  <c r="F29" i="1"/>
  <c r="E34" i="1"/>
  <c r="F226" i="1"/>
  <c r="F230" i="1"/>
  <c r="E238" i="1"/>
  <c r="E200" i="1"/>
  <c r="E204" i="1"/>
  <c r="F254" i="1"/>
  <c r="E91" i="1"/>
  <c r="E287" i="1"/>
  <c r="F298" i="1"/>
  <c r="F359" i="1"/>
  <c r="F624" i="1"/>
  <c r="F440" i="1"/>
  <c r="F51" i="1"/>
  <c r="C35" i="20"/>
  <c r="C35" i="56"/>
  <c r="C55" i="61"/>
  <c r="C55" i="19"/>
  <c r="F697" i="1"/>
  <c r="C31" i="80"/>
  <c r="C35" i="78"/>
  <c r="C55" i="44"/>
  <c r="C58" i="8"/>
  <c r="C42" i="44"/>
  <c r="C47" i="3"/>
  <c r="C38" i="44"/>
  <c r="C51" i="55"/>
  <c r="F120" i="1"/>
  <c r="F102" i="1"/>
  <c r="F114" i="1"/>
  <c r="H53" i="31"/>
  <c r="H42" i="74"/>
  <c r="H43" i="37"/>
  <c r="H45" i="37"/>
  <c r="H35" i="81"/>
  <c r="H46" i="78"/>
  <c r="H41" i="80"/>
  <c r="H29" i="80"/>
  <c r="H31" i="81"/>
  <c r="H56" i="81"/>
  <c r="H50" i="80"/>
  <c r="H51" i="78"/>
  <c r="H37" i="81"/>
  <c r="H38" i="81"/>
  <c r="H44" i="53"/>
  <c r="H50" i="53"/>
  <c r="H48" i="61"/>
  <c r="H52" i="62"/>
  <c r="H34" i="62"/>
  <c r="H42" i="58"/>
  <c r="H26" i="58"/>
  <c r="H40" i="61"/>
  <c r="H53" i="61"/>
  <c r="H53" i="62"/>
  <c r="H45" i="58"/>
  <c r="E493" i="1"/>
  <c r="E123" i="1"/>
  <c r="C42" i="46"/>
  <c r="C47" i="71"/>
  <c r="C46" i="3"/>
  <c r="E15" i="1"/>
  <c r="C52" i="53"/>
  <c r="C39" i="19"/>
  <c r="C47" i="31"/>
  <c r="F100" i="1"/>
  <c r="E100" i="1"/>
  <c r="E8" i="1"/>
  <c r="F8" i="1"/>
  <c r="C55" i="70"/>
  <c r="E47" i="1"/>
  <c r="E39" i="1"/>
  <c r="C39" i="47"/>
  <c r="C50" i="6"/>
  <c r="C42" i="17"/>
  <c r="C43" i="47"/>
  <c r="E22" i="1"/>
  <c r="F32" i="1"/>
  <c r="F233" i="1"/>
  <c r="E187" i="1"/>
  <c r="F199" i="1"/>
  <c r="F253" i="1"/>
  <c r="F355" i="1"/>
  <c r="E373" i="1"/>
  <c r="F450" i="1"/>
  <c r="E545" i="1"/>
  <c r="F552" i="1"/>
  <c r="F620" i="1"/>
  <c r="E632" i="1"/>
  <c r="E656" i="1"/>
  <c r="F118" i="1"/>
  <c r="F101" i="1"/>
  <c r="A46" i="70"/>
  <c r="A47" i="18"/>
  <c r="F30" i="70"/>
  <c r="G30" i="70" s="1"/>
  <c r="A249" i="39"/>
  <c r="A243" i="39"/>
  <c r="A242" i="39"/>
  <c r="A88" i="39"/>
  <c r="F27" i="1"/>
  <c r="F377" i="1"/>
  <c r="F439" i="1"/>
  <c r="E642" i="1"/>
  <c r="E109" i="1"/>
  <c r="F113" i="1"/>
  <c r="C56" i="8"/>
  <c r="C32" i="71"/>
  <c r="E7" i="1"/>
  <c r="C37" i="33"/>
  <c r="C45" i="5"/>
  <c r="C45" i="37"/>
  <c r="C40" i="33"/>
  <c r="C48" i="4"/>
  <c r="E107" i="1"/>
  <c r="F42" i="1"/>
  <c r="J16" i="1"/>
  <c r="J17" i="1"/>
  <c r="L76" i="86" s="1"/>
  <c r="E453" i="1"/>
  <c r="F453" i="1"/>
  <c r="F122" i="1"/>
  <c r="E122" i="1"/>
  <c r="E52" i="1"/>
  <c r="F52" i="1"/>
  <c r="C57" i="62"/>
  <c r="C57" i="56"/>
  <c r="C37" i="78"/>
  <c r="C40" i="20"/>
  <c r="C37" i="62"/>
  <c r="J5" i="1"/>
  <c r="E618" i="1"/>
  <c r="E640" i="1"/>
  <c r="E44" i="1"/>
  <c r="F112" i="1"/>
  <c r="E119" i="1"/>
  <c r="C55" i="17"/>
  <c r="C34" i="20"/>
  <c r="C42" i="6"/>
  <c r="C39" i="46"/>
  <c r="C43" i="81"/>
  <c r="C38" i="46"/>
  <c r="C39" i="58"/>
  <c r="C39" i="70"/>
  <c r="C47" i="6"/>
  <c r="C35" i="31"/>
  <c r="C57" i="51"/>
  <c r="C53" i="30"/>
  <c r="E121" i="1"/>
  <c r="C46" i="46"/>
  <c r="C44" i="47"/>
  <c r="J15" i="1"/>
  <c r="C599" i="1" s="1"/>
  <c r="K31" i="4"/>
  <c r="F194" i="1"/>
  <c r="F202" i="1"/>
  <c r="F282" i="1"/>
  <c r="F311" i="1"/>
  <c r="F361" i="1"/>
  <c r="E376" i="1"/>
  <c r="F386" i="1"/>
  <c r="F393" i="1"/>
  <c r="F48" i="1"/>
  <c r="C55" i="34"/>
  <c r="C51" i="81"/>
  <c r="F16" i="1"/>
  <c r="C35" i="62"/>
  <c r="C35" i="61"/>
  <c r="C43" i="54"/>
  <c r="C29" i="58"/>
  <c r="C29" i="19"/>
  <c r="C42" i="58"/>
  <c r="C40" i="48"/>
  <c r="C42" i="70"/>
  <c r="C42" i="56"/>
  <c r="C44" i="46"/>
  <c r="F28" i="34"/>
  <c r="G28" i="34" s="1"/>
  <c r="F32" i="3"/>
  <c r="G32" i="3" s="1"/>
  <c r="J7" i="1"/>
  <c r="I525" i="1" s="1"/>
  <c r="F31" i="1"/>
  <c r="F36" i="1"/>
  <c r="F228" i="1"/>
  <c r="F197" i="1"/>
  <c r="F206" i="1"/>
  <c r="E264" i="1"/>
  <c r="F303" i="1"/>
  <c r="F323" i="1"/>
  <c r="F362" i="1"/>
  <c r="F442" i="1"/>
  <c r="F448" i="1"/>
  <c r="E497" i="1"/>
  <c r="E530" i="1"/>
  <c r="F613" i="1"/>
  <c r="F617" i="1"/>
  <c r="E621" i="1"/>
  <c r="F645" i="1"/>
  <c r="C28" i="20"/>
  <c r="C28" i="56"/>
  <c r="F36" i="74"/>
  <c r="G36" i="74" s="1"/>
  <c r="K32" i="4"/>
  <c r="F40" i="1"/>
  <c r="E37" i="1"/>
  <c r="J9" i="1"/>
  <c r="J6" i="1"/>
  <c r="C598" i="1" s="1"/>
  <c r="J8" i="1"/>
  <c r="G227" i="1"/>
  <c r="G264" i="1"/>
  <c r="G320" i="1"/>
  <c r="F320" i="1"/>
  <c r="G323" i="1"/>
  <c r="G326" i="1"/>
  <c r="F326" i="1"/>
  <c r="G545" i="1"/>
  <c r="G135" i="1"/>
  <c r="F135" i="1"/>
  <c r="F262" i="1"/>
  <c r="F204" i="1"/>
  <c r="F34" i="1"/>
  <c r="F98" i="1"/>
  <c r="E20" i="1"/>
  <c r="E29" i="1"/>
  <c r="G90" i="1"/>
  <c r="F90" i="1"/>
  <c r="G259" i="1"/>
  <c r="E259" i="1"/>
  <c r="G262" i="1"/>
  <c r="G321" i="1"/>
  <c r="G484" i="1"/>
  <c r="F484" i="1"/>
  <c r="G530" i="1"/>
  <c r="G91" i="1"/>
  <c r="F91" i="1"/>
  <c r="F200" i="1"/>
  <c r="F189" i="1"/>
  <c r="E265" i="1"/>
  <c r="E189" i="1"/>
  <c r="E186" i="1"/>
  <c r="G266" i="1"/>
  <c r="E266" i="1"/>
  <c r="G325" i="1"/>
  <c r="F325" i="1"/>
  <c r="G328" i="1"/>
  <c r="F328" i="1"/>
  <c r="G496" i="1"/>
  <c r="E496" i="1"/>
  <c r="E452" i="1"/>
  <c r="E491" i="1"/>
  <c r="G505" i="1"/>
  <c r="E477" i="1"/>
  <c r="E67" i="1"/>
  <c r="E157" i="1"/>
  <c r="F153" i="1"/>
  <c r="K32" i="31"/>
  <c r="C32" i="31"/>
  <c r="B12" i="53"/>
  <c r="D36" i="53" s="1"/>
  <c r="B10" i="80"/>
  <c r="B11" i="80"/>
  <c r="D32" i="80" s="1"/>
  <c r="B9" i="80"/>
  <c r="B11" i="62"/>
  <c r="B10" i="62"/>
  <c r="D31" i="62" s="1"/>
  <c r="B9" i="62"/>
  <c r="A12" i="62"/>
  <c r="B11" i="18"/>
  <c r="D31" i="18" s="1"/>
  <c r="B9" i="56"/>
  <c r="B10" i="56"/>
  <c r="F33" i="37"/>
  <c r="G33" i="37" s="1"/>
  <c r="C12" i="37"/>
  <c r="C13" i="55"/>
  <c r="B9" i="55"/>
  <c r="D57" i="55" s="1"/>
  <c r="Q24" i="55"/>
  <c r="R24" i="55" s="1"/>
  <c r="T24" i="55" s="1"/>
  <c r="Q26" i="55"/>
  <c r="Q33" i="55"/>
  <c r="S19" i="55"/>
  <c r="S9" i="55" s="1"/>
  <c r="Q27" i="55"/>
  <c r="Q34" i="55"/>
  <c r="M12" i="7"/>
  <c r="Q43" i="7"/>
  <c r="R17" i="7"/>
  <c r="R9" i="7" s="1"/>
  <c r="Q29" i="7"/>
  <c r="Q21" i="7"/>
  <c r="R21" i="7" s="1"/>
  <c r="Q26" i="7"/>
  <c r="T17" i="7"/>
  <c r="T9" i="7" s="1"/>
  <c r="S8" i="7"/>
  <c r="Q28" i="7"/>
  <c r="O7" i="5"/>
  <c r="O8" i="5" s="1"/>
  <c r="R8" i="5"/>
  <c r="B8" i="5"/>
  <c r="B9" i="5" s="1"/>
  <c r="L12" i="5"/>
  <c r="M12" i="5" s="1"/>
  <c r="N12" i="6"/>
  <c r="O10" i="6"/>
  <c r="O11" i="6" s="1"/>
  <c r="R28" i="71"/>
  <c r="S28" i="71" s="1"/>
  <c r="V28" i="71" s="1"/>
  <c r="R23" i="71"/>
  <c r="S23" i="71" s="1"/>
  <c r="V23" i="71" s="1"/>
  <c r="U17" i="71"/>
  <c r="U9" i="71" s="1"/>
  <c r="S8" i="71"/>
  <c r="D58" i="71"/>
  <c r="T8" i="71"/>
  <c r="L12" i="71"/>
  <c r="M12" i="71" s="1"/>
  <c r="C13" i="30"/>
  <c r="D58" i="30"/>
  <c r="O10" i="30"/>
  <c r="O11" i="30" s="1"/>
  <c r="R30" i="30"/>
  <c r="R22" i="30"/>
  <c r="S22" i="30" s="1"/>
  <c r="U22" i="30" s="1"/>
  <c r="B12" i="30"/>
  <c r="D34" i="30" s="1"/>
  <c r="R27" i="30"/>
  <c r="S27" i="30" s="1"/>
  <c r="R25" i="30"/>
  <c r="S25" i="30" s="1"/>
  <c r="U25" i="30" s="1"/>
  <c r="T26" i="30"/>
  <c r="R24" i="30"/>
  <c r="S24" i="30" s="1"/>
  <c r="L12" i="4"/>
  <c r="M12" i="4" s="1"/>
  <c r="L9" i="4"/>
  <c r="L11" i="4" s="1"/>
  <c r="R8" i="4"/>
  <c r="L13" i="4"/>
  <c r="C8" i="4"/>
  <c r="C9" i="4" s="1"/>
  <c r="C13" i="4" s="1"/>
  <c r="J33" i="4"/>
  <c r="Q8" i="72"/>
  <c r="K9" i="72"/>
  <c r="K11" i="72" s="1"/>
  <c r="K12" i="72"/>
  <c r="L12" i="72" s="1"/>
  <c r="K13" i="72"/>
  <c r="L12" i="3"/>
  <c r="M12" i="3" s="1"/>
  <c r="L13" i="3"/>
  <c r="C8" i="3"/>
  <c r="C9" i="3" s="1"/>
  <c r="C13" i="51"/>
  <c r="B9" i="51"/>
  <c r="D61" i="51" s="1"/>
  <c r="C10" i="51"/>
  <c r="F34" i="51"/>
  <c r="G34" i="51" s="1"/>
  <c r="E55" i="17"/>
  <c r="F55" i="17" s="1"/>
  <c r="G55" i="17" s="1"/>
  <c r="E43" i="80"/>
  <c r="F43" i="80" s="1"/>
  <c r="G43" i="80" s="1"/>
  <c r="E51" i="80"/>
  <c r="F51" i="80" s="1"/>
  <c r="G51" i="80" s="1"/>
  <c r="E35" i="33"/>
  <c r="F35" i="33" s="1"/>
  <c r="G35" i="33" s="1"/>
  <c r="E35" i="56"/>
  <c r="F35" i="56" s="1"/>
  <c r="G35" i="56" s="1"/>
  <c r="E55" i="58"/>
  <c r="F55" i="58" s="1"/>
  <c r="G55" i="58" s="1"/>
  <c r="E45" i="46"/>
  <c r="F45" i="46" s="1"/>
  <c r="G45" i="46" s="1"/>
  <c r="E46" i="46"/>
  <c r="F46" i="46" s="1"/>
  <c r="G46" i="46" s="1"/>
  <c r="E42" i="47"/>
  <c r="F42" i="47" s="1"/>
  <c r="G42" i="47" s="1"/>
  <c r="E56" i="61"/>
  <c r="F56" i="61" s="1"/>
  <c r="G56" i="61" s="1"/>
  <c r="E31" i="37"/>
  <c r="F31" i="37" s="1"/>
  <c r="G31" i="37" s="1"/>
  <c r="F30" i="81"/>
  <c r="G30" i="81" s="1"/>
  <c r="K12" i="81"/>
  <c r="L12" i="81" s="1"/>
  <c r="M12" i="81" s="1"/>
  <c r="K9" i="81"/>
  <c r="K11" i="81" s="1"/>
  <c r="N7" i="81" s="1"/>
  <c r="N8" i="81" s="1"/>
  <c r="Q8" i="81"/>
  <c r="K13" i="81"/>
  <c r="K33" i="81"/>
  <c r="C8" i="81"/>
  <c r="E32" i="47"/>
  <c r="F32" i="47" s="1"/>
  <c r="G32" i="47" s="1"/>
  <c r="E35" i="70"/>
  <c r="F35" i="70" s="1"/>
  <c r="G35" i="70" s="1"/>
  <c r="E28" i="56"/>
  <c r="F28" i="56" s="1"/>
  <c r="G28" i="56" s="1"/>
  <c r="E43" i="17"/>
  <c r="F43" i="17" s="1"/>
  <c r="G43" i="17" s="1"/>
  <c r="E35" i="61"/>
  <c r="F35" i="61" s="1"/>
  <c r="G35" i="61" s="1"/>
  <c r="E35" i="62"/>
  <c r="F35" i="62" s="1"/>
  <c r="G35" i="62" s="1"/>
  <c r="E33" i="71"/>
  <c r="F33" i="71" s="1"/>
  <c r="G33" i="71" s="1"/>
  <c r="E57" i="19"/>
  <c r="F57" i="19" s="1"/>
  <c r="G57" i="19" s="1"/>
  <c r="E55" i="44"/>
  <c r="F55" i="44" s="1"/>
  <c r="G55" i="44" s="1"/>
  <c r="E43" i="5"/>
  <c r="F43" i="5" s="1"/>
  <c r="G43" i="5" s="1"/>
  <c r="E43" i="6"/>
  <c r="F43" i="6" s="1"/>
  <c r="G43" i="6" s="1"/>
  <c r="E61" i="54"/>
  <c r="F61" i="54" s="1"/>
  <c r="G61" i="54" s="1"/>
  <c r="E60" i="3"/>
  <c r="F60" i="3" s="1"/>
  <c r="G60" i="3" s="1"/>
  <c r="E30" i="80"/>
  <c r="F30" i="80" s="1"/>
  <c r="G30" i="80" s="1"/>
  <c r="E61" i="71"/>
  <c r="F61" i="71" s="1"/>
  <c r="G61" i="71" s="1"/>
  <c r="E37" i="56"/>
  <c r="F37" i="56" s="1"/>
  <c r="G37" i="56" s="1"/>
  <c r="E60" i="6"/>
  <c r="F60" i="6" s="1"/>
  <c r="G60" i="6" s="1"/>
  <c r="E65" i="53"/>
  <c r="F65" i="53" s="1"/>
  <c r="G65" i="53" s="1"/>
  <c r="E64" i="51"/>
  <c r="F64" i="51" s="1"/>
  <c r="G64" i="51" s="1"/>
  <c r="E52" i="72"/>
  <c r="F52" i="72" s="1"/>
  <c r="G52" i="72" s="1"/>
  <c r="E42" i="37"/>
  <c r="F42" i="37" s="1"/>
  <c r="G42" i="37" s="1"/>
  <c r="E48" i="5"/>
  <c r="F48" i="5" s="1"/>
  <c r="G48" i="5" s="1"/>
  <c r="E37" i="61"/>
  <c r="F37" i="61" s="1"/>
  <c r="G37" i="61" s="1"/>
  <c r="E40" i="18"/>
  <c r="F40" i="18" s="1"/>
  <c r="G40" i="18" s="1"/>
  <c r="E51" i="55"/>
  <c r="F51" i="55" s="1"/>
  <c r="G51" i="55" s="1"/>
  <c r="E60" i="4"/>
  <c r="F60" i="4" s="1"/>
  <c r="G60" i="4" s="1"/>
  <c r="E37" i="53"/>
  <c r="F37" i="53" s="1"/>
  <c r="G37" i="53" s="1"/>
  <c r="E56" i="74"/>
  <c r="F56" i="74" s="1"/>
  <c r="G56" i="74" s="1"/>
  <c r="E35" i="51"/>
  <c r="F35" i="51" s="1"/>
  <c r="G35" i="51" s="1"/>
  <c r="E60" i="55"/>
  <c r="F60" i="55" s="1"/>
  <c r="G60" i="55" s="1"/>
  <c r="E62" i="7"/>
  <c r="F62" i="7" s="1"/>
  <c r="G62" i="7" s="1"/>
  <c r="E49" i="53"/>
  <c r="F49" i="53" s="1"/>
  <c r="G49" i="53" s="1"/>
  <c r="E35" i="17"/>
  <c r="F35" i="17" s="1"/>
  <c r="G35" i="17" s="1"/>
  <c r="E43" i="71"/>
  <c r="F43" i="71" s="1"/>
  <c r="G43" i="71" s="1"/>
  <c r="E35" i="34"/>
  <c r="F35" i="34" s="1"/>
  <c r="G35" i="34" s="1"/>
  <c r="E28" i="70"/>
  <c r="F28" i="70" s="1"/>
  <c r="G28" i="70" s="1"/>
  <c r="E61" i="30"/>
  <c r="F61" i="30" s="1"/>
  <c r="G61" i="30" s="1"/>
  <c r="E62" i="31"/>
  <c r="F62" i="31" s="1"/>
  <c r="G62" i="31" s="1"/>
  <c r="E33" i="30"/>
  <c r="F33" i="30" s="1"/>
  <c r="G33" i="30" s="1"/>
  <c r="E43" i="31"/>
  <c r="F43" i="31" s="1"/>
  <c r="G43" i="31" s="1"/>
  <c r="E36" i="8"/>
  <c r="F36" i="8" s="1"/>
  <c r="G36" i="8" s="1"/>
  <c r="E50" i="6"/>
  <c r="F50" i="6" s="1"/>
  <c r="G50" i="6" s="1"/>
  <c r="E50" i="4"/>
  <c r="F50" i="4" s="1"/>
  <c r="G50" i="4" s="1"/>
  <c r="E48" i="37"/>
  <c r="F48" i="37" s="1"/>
  <c r="G48" i="37" s="1"/>
  <c r="E42" i="58"/>
  <c r="F42" i="58" s="1"/>
  <c r="G42" i="58" s="1"/>
  <c r="E37" i="51"/>
  <c r="F37" i="51" s="1"/>
  <c r="G37" i="51" s="1"/>
  <c r="E29" i="8"/>
  <c r="F29" i="8" s="1"/>
  <c r="G29" i="8" s="1"/>
  <c r="E56" i="58"/>
  <c r="F56" i="58" s="1"/>
  <c r="G56" i="58" s="1"/>
  <c r="E35" i="19"/>
  <c r="F35" i="19" s="1"/>
  <c r="G35" i="19" s="1"/>
  <c r="E32" i="74"/>
  <c r="F32" i="74" s="1"/>
  <c r="G32" i="74" s="1"/>
  <c r="E25" i="47"/>
  <c r="F25" i="47" s="1"/>
  <c r="G25" i="47" s="1"/>
  <c r="E39" i="34"/>
  <c r="F39" i="34" s="1"/>
  <c r="G39" i="34" s="1"/>
  <c r="E50" i="3"/>
  <c r="F50" i="3" s="1"/>
  <c r="G50" i="3" s="1"/>
  <c r="E34" i="53"/>
  <c r="F34" i="53" s="1"/>
  <c r="G34" i="53" s="1"/>
  <c r="E52" i="37"/>
  <c r="F52" i="37" s="1"/>
  <c r="G52" i="37" s="1"/>
  <c r="E46" i="4"/>
  <c r="F46" i="4" s="1"/>
  <c r="G46" i="4" s="1"/>
  <c r="E49" i="74"/>
  <c r="F49" i="74" s="1"/>
  <c r="G49" i="74" s="1"/>
  <c r="E55" i="19"/>
  <c r="F55" i="19" s="1"/>
  <c r="G55" i="19" s="1"/>
  <c r="E51" i="81"/>
  <c r="F51" i="81" s="1"/>
  <c r="G51" i="81" s="1"/>
  <c r="E60" i="30"/>
  <c r="F60" i="30" s="1"/>
  <c r="G60" i="30" s="1"/>
  <c r="E33" i="54"/>
  <c r="F33" i="54" s="1"/>
  <c r="G33" i="54" s="1"/>
  <c r="E28" i="18"/>
  <c r="F28" i="18" s="1"/>
  <c r="G28" i="18" s="1"/>
  <c r="E43" i="7"/>
  <c r="F43" i="7" s="1"/>
  <c r="G43" i="7" s="1"/>
  <c r="E57" i="56"/>
  <c r="F57" i="56" s="1"/>
  <c r="G57" i="56" s="1"/>
  <c r="E33" i="48"/>
  <c r="F33" i="48" s="1"/>
  <c r="G33" i="48" s="1"/>
  <c r="E48" i="4"/>
  <c r="F48" i="4" s="1"/>
  <c r="G48" i="4" s="1"/>
  <c r="E55" i="34"/>
  <c r="F55" i="34" s="1"/>
  <c r="G55" i="34" s="1"/>
  <c r="E56" i="8"/>
  <c r="F56" i="8" s="1"/>
  <c r="G56" i="8" s="1"/>
  <c r="E29" i="81"/>
  <c r="F29" i="81" s="1"/>
  <c r="G29" i="81" s="1"/>
  <c r="E31" i="74"/>
  <c r="F31" i="74" s="1"/>
  <c r="G31" i="74" s="1"/>
  <c r="E31" i="3"/>
  <c r="F31" i="3" s="1"/>
  <c r="G31" i="3" s="1"/>
  <c r="E33" i="4"/>
  <c r="F33" i="4" s="1"/>
  <c r="G33" i="4" s="1"/>
  <c r="E33" i="3"/>
  <c r="F33" i="3" s="1"/>
  <c r="G33" i="3" s="1"/>
  <c r="E26" i="48"/>
  <c r="F26" i="48" s="1"/>
  <c r="G26" i="48" s="1"/>
  <c r="D6" i="57"/>
  <c r="E6" i="57" s="1"/>
  <c r="F6" i="57" s="1"/>
  <c r="E57" i="18"/>
  <c r="F57" i="18" s="1"/>
  <c r="G57" i="18" s="1"/>
  <c r="E35" i="58"/>
  <c r="F35" i="58" s="1"/>
  <c r="G35" i="58" s="1"/>
  <c r="E64" i="4"/>
  <c r="F64" i="4" s="1"/>
  <c r="G64" i="4" s="1"/>
  <c r="E32" i="72"/>
  <c r="F32" i="72" s="1"/>
  <c r="G32" i="72" s="1"/>
  <c r="E63" i="51"/>
  <c r="F63" i="51" s="1"/>
  <c r="G63" i="51" s="1"/>
  <c r="E62" i="30"/>
  <c r="F62" i="30" s="1"/>
  <c r="G62" i="30" s="1"/>
  <c r="E44" i="81"/>
  <c r="F44" i="81" s="1"/>
  <c r="G44" i="81" s="1"/>
  <c r="E40" i="47"/>
  <c r="F40" i="47" s="1"/>
  <c r="G40" i="47" s="1"/>
  <c r="E42" i="46"/>
  <c r="F42" i="46" s="1"/>
  <c r="G42" i="46" s="1"/>
  <c r="E43" i="70"/>
  <c r="F43" i="70" s="1"/>
  <c r="G43" i="70" s="1"/>
  <c r="E66" i="7"/>
  <c r="F66" i="7" s="1"/>
  <c r="G66" i="7" s="1"/>
  <c r="E30" i="34"/>
  <c r="F30" i="34" s="1"/>
  <c r="G30" i="34" s="1"/>
  <c r="E36" i="72"/>
  <c r="F36" i="72" s="1"/>
  <c r="G36" i="72" s="1"/>
  <c r="E35" i="54"/>
  <c r="F35" i="54" s="1"/>
  <c r="G35" i="54" s="1"/>
  <c r="E29" i="44"/>
  <c r="F29" i="44" s="1"/>
  <c r="G29" i="44" s="1"/>
  <c r="E63" i="31"/>
  <c r="F63" i="31" s="1"/>
  <c r="G63" i="31" s="1"/>
  <c r="E55" i="3"/>
  <c r="F55" i="3" s="1"/>
  <c r="G55" i="3" s="1"/>
  <c r="E53" i="53"/>
  <c r="F53" i="53" s="1"/>
  <c r="G53" i="53" s="1"/>
  <c r="E44" i="8"/>
  <c r="F44" i="8" s="1"/>
  <c r="G44" i="8" s="1"/>
  <c r="E41" i="48"/>
  <c r="F41" i="48" s="1"/>
  <c r="G41" i="48" s="1"/>
  <c r="E58" i="74"/>
  <c r="F58" i="74" s="1"/>
  <c r="G58" i="74" s="1"/>
  <c r="E43" i="18"/>
  <c r="F43" i="18" s="1"/>
  <c r="G43" i="18" s="1"/>
  <c r="E34" i="55"/>
  <c r="F34" i="55" s="1"/>
  <c r="G34" i="55" s="1"/>
  <c r="E30" i="61"/>
  <c r="F30" i="61" s="1"/>
  <c r="G30" i="61" s="1"/>
  <c r="E53" i="37"/>
  <c r="F53" i="37" s="1"/>
  <c r="G53" i="37" s="1"/>
  <c r="E61" i="5"/>
  <c r="F61" i="5" s="1"/>
  <c r="G61" i="5" s="1"/>
  <c r="E56" i="7"/>
  <c r="F56" i="7" s="1"/>
  <c r="G56" i="7" s="1"/>
  <c r="G45" i="74"/>
  <c r="E37" i="80"/>
  <c r="F37" i="80" s="1"/>
  <c r="G37" i="80" s="1"/>
  <c r="E46" i="55"/>
  <c r="F46" i="55" s="1"/>
  <c r="G46" i="55" s="1"/>
  <c r="E55" i="56"/>
  <c r="F55" i="56" s="1"/>
  <c r="G55" i="56" s="1"/>
  <c r="E53" i="30"/>
  <c r="F53" i="30" s="1"/>
  <c r="G53" i="30" s="1"/>
  <c r="E65" i="30"/>
  <c r="F65" i="30" s="1"/>
  <c r="G65" i="30" s="1"/>
  <c r="E32" i="6"/>
  <c r="F32" i="6" s="1"/>
  <c r="G32" i="6" s="1"/>
  <c r="E46" i="74"/>
  <c r="F46" i="74" s="1"/>
  <c r="G46" i="74" s="1"/>
  <c r="E31" i="31"/>
  <c r="F31" i="31" s="1"/>
  <c r="G31" i="31" s="1"/>
  <c r="E28" i="61"/>
  <c r="F28" i="61" s="1"/>
  <c r="G28" i="61" s="1"/>
  <c r="E37" i="55"/>
  <c r="F37" i="55" s="1"/>
  <c r="G37" i="55" s="1"/>
  <c r="E61" i="31"/>
  <c r="F61" i="31" s="1"/>
  <c r="G61" i="31" s="1"/>
  <c r="E59" i="55"/>
  <c r="F59" i="55" s="1"/>
  <c r="G59" i="55" s="1"/>
  <c r="E33" i="6"/>
  <c r="F33" i="6" s="1"/>
  <c r="G33" i="6" s="1"/>
  <c r="E33" i="5"/>
  <c r="F33" i="5" s="1"/>
  <c r="G33" i="5" s="1"/>
  <c r="E35" i="53"/>
  <c r="F35" i="53" s="1"/>
  <c r="G35" i="53" s="1"/>
  <c r="E62" i="54"/>
  <c r="F62" i="54" s="1"/>
  <c r="G62" i="54" s="1"/>
  <c r="E61" i="55"/>
  <c r="F61" i="55" s="1"/>
  <c r="G61" i="55" s="1"/>
  <c r="E28" i="17"/>
  <c r="F28" i="17" s="1"/>
  <c r="G28" i="17" s="1"/>
  <c r="E27" i="44"/>
  <c r="F27" i="44" s="1"/>
  <c r="G27" i="44" s="1"/>
  <c r="E44" i="72"/>
  <c r="F44" i="72" s="1"/>
  <c r="G44" i="72" s="1"/>
  <c r="E40" i="74"/>
  <c r="F40" i="74" s="1"/>
  <c r="G40" i="74" s="1"/>
  <c r="E33" i="53"/>
  <c r="F33" i="53" s="1"/>
  <c r="G33" i="53" s="1"/>
  <c r="E32" i="30"/>
  <c r="F32" i="30" s="1"/>
  <c r="G32" i="30" s="1"/>
  <c r="E28" i="20"/>
  <c r="F28" i="20" s="1"/>
  <c r="G28" i="20" s="1"/>
  <c r="E56" i="33"/>
  <c r="F56" i="33" s="1"/>
  <c r="G56" i="33" s="1"/>
  <c r="E35" i="20"/>
  <c r="F35" i="20" s="1"/>
  <c r="G35" i="20" s="1"/>
  <c r="E37" i="33"/>
  <c r="F37" i="33" s="1"/>
  <c r="G37" i="33" s="1"/>
  <c r="E55" i="62"/>
  <c r="F55" i="62" s="1"/>
  <c r="G55" i="62" s="1"/>
  <c r="E50" i="46"/>
  <c r="F50" i="46" s="1"/>
  <c r="G50" i="46" s="1"/>
  <c r="E67" i="51"/>
  <c r="F67" i="51" s="1"/>
  <c r="G67" i="51" s="1"/>
  <c r="E65" i="54"/>
  <c r="F65" i="54" s="1"/>
  <c r="G65" i="54" s="1"/>
  <c r="E35" i="6"/>
  <c r="F35" i="6" s="1"/>
  <c r="G35" i="6" s="1"/>
  <c r="E35" i="7"/>
  <c r="F35" i="7" s="1"/>
  <c r="G35" i="7" s="1"/>
  <c r="E54" i="55"/>
  <c r="F54" i="55" s="1"/>
  <c r="G54" i="55" s="1"/>
  <c r="E61" i="7"/>
  <c r="F61" i="7" s="1"/>
  <c r="G61" i="7" s="1"/>
  <c r="E35" i="55"/>
  <c r="F35" i="55" s="1"/>
  <c r="G35" i="55" s="1"/>
  <c r="E33" i="7"/>
  <c r="F33" i="7" s="1"/>
  <c r="G33" i="7" s="1"/>
  <c r="E32" i="37"/>
  <c r="F32" i="37" s="1"/>
  <c r="G32" i="37" s="1"/>
  <c r="E43" i="3"/>
  <c r="F43" i="3" s="1"/>
  <c r="G43" i="3" s="1"/>
  <c r="E61" i="4"/>
  <c r="F61" i="4" s="1"/>
  <c r="G61" i="4" s="1"/>
  <c r="E28" i="19"/>
  <c r="F28" i="19" s="1"/>
  <c r="G28" i="19" s="1"/>
  <c r="E28" i="33"/>
  <c r="F28" i="33" s="1"/>
  <c r="G28" i="33" s="1"/>
  <c r="E27" i="46"/>
  <c r="F27" i="46" s="1"/>
  <c r="G27" i="46" s="1"/>
  <c r="E43" i="30"/>
  <c r="F43" i="30" s="1"/>
  <c r="G43" i="30" s="1"/>
  <c r="E43" i="54"/>
  <c r="F43" i="54" s="1"/>
  <c r="G43" i="54" s="1"/>
  <c r="E54" i="48"/>
  <c r="F54" i="48" s="1"/>
  <c r="G54" i="48" s="1"/>
  <c r="E32" i="5"/>
  <c r="F32" i="5" s="1"/>
  <c r="G32" i="5" s="1"/>
  <c r="E32" i="7"/>
  <c r="F32" i="7" s="1"/>
  <c r="G32" i="7" s="1"/>
  <c r="E31" i="4"/>
  <c r="F31" i="4" s="1"/>
  <c r="G31" i="4" s="1"/>
  <c r="E49" i="37"/>
  <c r="F49" i="37" s="1"/>
  <c r="G49" i="37" s="1"/>
  <c r="E29" i="46"/>
  <c r="F29" i="46" s="1"/>
  <c r="G29" i="46" s="1"/>
  <c r="E50" i="30"/>
  <c r="F50" i="30" s="1"/>
  <c r="G50" i="30" s="1"/>
  <c r="E47" i="74"/>
  <c r="F47" i="74" s="1"/>
  <c r="G47" i="74" s="1"/>
  <c r="E55" i="72"/>
  <c r="F55" i="72" s="1"/>
  <c r="G55" i="72" s="1"/>
  <c r="E54" i="53"/>
  <c r="F54" i="53" s="1"/>
  <c r="G54" i="53" s="1"/>
  <c r="E57" i="61"/>
  <c r="F57" i="61" s="1"/>
  <c r="G57" i="61" s="1"/>
  <c r="E32" i="31"/>
  <c r="F32" i="31" s="1"/>
  <c r="G32" i="31" s="1"/>
  <c r="E54" i="78"/>
  <c r="F54" i="78" s="1"/>
  <c r="G54" i="78" s="1"/>
  <c r="E44" i="31"/>
  <c r="F44" i="31" s="1"/>
  <c r="G44" i="31" s="1"/>
  <c r="E55" i="33"/>
  <c r="F55" i="33" s="1"/>
  <c r="G55" i="33" s="1"/>
  <c r="E43" i="8"/>
  <c r="F43" i="8" s="1"/>
  <c r="G43" i="8" s="1"/>
  <c r="E42" i="33"/>
  <c r="F42" i="33" s="1"/>
  <c r="G42" i="33" s="1"/>
  <c r="E42" i="61"/>
  <c r="F42" i="61" s="1"/>
  <c r="G42" i="61" s="1"/>
  <c r="E53" i="48"/>
  <c r="F53" i="48" s="1"/>
  <c r="G53" i="48" s="1"/>
  <c r="E32" i="71"/>
  <c r="F32" i="71" s="1"/>
  <c r="G32" i="71" s="1"/>
  <c r="E46" i="78"/>
  <c r="F46" i="78" s="1"/>
  <c r="G46" i="78" s="1"/>
  <c r="E48" i="47"/>
  <c r="F48" i="47" s="1"/>
  <c r="G48" i="47" s="1"/>
  <c r="E32" i="4"/>
  <c r="F32" i="4" s="1"/>
  <c r="G32" i="4" s="1"/>
  <c r="E64" i="3"/>
  <c r="F64" i="3" s="1"/>
  <c r="G64" i="3" s="1"/>
  <c r="E60" i="72"/>
  <c r="F60" i="72" s="1"/>
  <c r="G60" i="72" s="1"/>
  <c r="E66" i="31"/>
  <c r="F66" i="31" s="1"/>
  <c r="G66" i="31" s="1"/>
  <c r="E63" i="55"/>
  <c r="F63" i="55" s="1"/>
  <c r="G63" i="55" s="1"/>
  <c r="E33" i="72"/>
  <c r="F33" i="72" s="1"/>
  <c r="G33" i="72" s="1"/>
  <c r="E32" i="54"/>
  <c r="F32" i="54" s="1"/>
  <c r="G32" i="54" s="1"/>
  <c r="E31" i="71"/>
  <c r="F31" i="71" s="1"/>
  <c r="G31" i="71" s="1"/>
  <c r="E31" i="5"/>
  <c r="F31" i="5" s="1"/>
  <c r="G31" i="5" s="1"/>
  <c r="E54" i="31"/>
  <c r="F54" i="31" s="1"/>
  <c r="G54" i="31" s="1"/>
  <c r="E56" i="72"/>
  <c r="F56" i="72" s="1"/>
  <c r="G56" i="72" s="1"/>
  <c r="E35" i="30"/>
  <c r="F35" i="30" s="1"/>
  <c r="G35" i="30" s="1"/>
  <c r="E36" i="37"/>
  <c r="F36" i="37" s="1"/>
  <c r="G36" i="37" s="1"/>
  <c r="E52" i="74"/>
  <c r="F52" i="74" s="1"/>
  <c r="G52" i="74" s="1"/>
  <c r="E60" i="71"/>
  <c r="F60" i="71" s="1"/>
  <c r="G60" i="71" s="1"/>
  <c r="E59" i="4"/>
  <c r="F59" i="4" s="1"/>
  <c r="G59" i="4" s="1"/>
  <c r="E60" i="54"/>
  <c r="F60" i="54" s="1"/>
  <c r="G60" i="54" s="1"/>
  <c r="E63" i="7"/>
  <c r="F63" i="7" s="1"/>
  <c r="G63" i="7" s="1"/>
  <c r="E62" i="71"/>
  <c r="F62" i="71" s="1"/>
  <c r="G62" i="71" s="1"/>
  <c r="E54" i="72"/>
  <c r="F54" i="72" s="1"/>
  <c r="G54" i="72" s="1"/>
  <c r="E51" i="54"/>
  <c r="F51" i="54" s="1"/>
  <c r="G51" i="54" s="1"/>
  <c r="E54" i="30"/>
  <c r="F54" i="30" s="1"/>
  <c r="G54" i="30" s="1"/>
  <c r="E34" i="70"/>
  <c r="F34" i="70" s="1"/>
  <c r="G34" i="70" s="1"/>
  <c r="E62" i="53"/>
  <c r="F62" i="53" s="1"/>
  <c r="G62" i="53" s="1"/>
  <c r="E47" i="31"/>
  <c r="F47" i="31" s="1"/>
  <c r="G47" i="31" s="1"/>
  <c r="E50" i="55"/>
  <c r="F50" i="55" s="1"/>
  <c r="G50" i="55" s="1"/>
  <c r="E44" i="37"/>
  <c r="F44" i="37" s="1"/>
  <c r="G44" i="37" s="1"/>
  <c r="E42" i="19"/>
  <c r="F42" i="19" s="1"/>
  <c r="G42" i="19" s="1"/>
  <c r="E42" i="34"/>
  <c r="F42" i="34" s="1"/>
  <c r="G42" i="34" s="1"/>
  <c r="E65" i="71"/>
  <c r="F65" i="71" s="1"/>
  <c r="G65" i="71" s="1"/>
  <c r="E64" i="6"/>
  <c r="F64" i="6" s="1"/>
  <c r="G64" i="6" s="1"/>
  <c r="E64" i="5"/>
  <c r="F64" i="5" s="1"/>
  <c r="G64" i="5" s="1"/>
  <c r="D5" i="57"/>
  <c r="E5" i="57" s="1"/>
  <c r="F5" i="57" s="1"/>
  <c r="E30" i="18"/>
  <c r="F30" i="18" s="1"/>
  <c r="G30" i="18" s="1"/>
  <c r="E50" i="31"/>
  <c r="F50" i="31" s="1"/>
  <c r="G50" i="31" s="1"/>
  <c r="E44" i="7"/>
  <c r="F44" i="7" s="1"/>
  <c r="G44" i="7" s="1"/>
  <c r="E35" i="31"/>
  <c r="F35" i="31" s="1"/>
  <c r="G35" i="31" s="1"/>
  <c r="E55" i="71"/>
  <c r="F55" i="71" s="1"/>
  <c r="G55" i="71" s="1"/>
  <c r="E35" i="3"/>
  <c r="F35" i="3" s="1"/>
  <c r="G35" i="3" s="1"/>
  <c r="E35" i="71"/>
  <c r="F35" i="71" s="1"/>
  <c r="G35" i="71" s="1"/>
  <c r="E59" i="3"/>
  <c r="F59" i="3" s="1"/>
  <c r="G59" i="3" s="1"/>
  <c r="E59" i="5"/>
  <c r="F59" i="5" s="1"/>
  <c r="G59" i="5" s="1"/>
  <c r="E61" i="3"/>
  <c r="F61" i="3" s="1"/>
  <c r="G61" i="3" s="1"/>
  <c r="E65" i="51"/>
  <c r="F65" i="51" s="1"/>
  <c r="G65" i="51" s="1"/>
  <c r="E51" i="31"/>
  <c r="F51" i="31" s="1"/>
  <c r="G51" i="31" s="1"/>
  <c r="E51" i="71"/>
  <c r="F51" i="71" s="1"/>
  <c r="G51" i="71" s="1"/>
  <c r="E51" i="7"/>
  <c r="F51" i="7" s="1"/>
  <c r="G51" i="7" s="1"/>
  <c r="E55" i="31"/>
  <c r="F55" i="31" s="1"/>
  <c r="G55" i="31" s="1"/>
  <c r="E51" i="37"/>
  <c r="F51" i="37" s="1"/>
  <c r="G51" i="37" s="1"/>
  <c r="E29" i="58"/>
  <c r="F29" i="58" s="1"/>
  <c r="G29" i="58" s="1"/>
  <c r="E39" i="20"/>
  <c r="F39" i="20" s="1"/>
  <c r="G39" i="20" s="1"/>
  <c r="E36" i="58"/>
  <c r="F36" i="58" s="1"/>
  <c r="G36" i="58" s="1"/>
  <c r="E40" i="19"/>
  <c r="F40" i="19" s="1"/>
  <c r="G40" i="19" s="1"/>
  <c r="E53" i="78"/>
  <c r="F53" i="78" s="1"/>
  <c r="G53" i="78" s="1"/>
  <c r="E39" i="48"/>
  <c r="F39" i="48" s="1"/>
  <c r="G39" i="48" s="1"/>
  <c r="E42" i="20"/>
  <c r="F42" i="20" s="1"/>
  <c r="G42" i="20" s="1"/>
  <c r="E38" i="48"/>
  <c r="F38" i="48" s="1"/>
  <c r="G38" i="48" s="1"/>
  <c r="E45" i="30"/>
  <c r="F45" i="30" s="1"/>
  <c r="G45" i="30" s="1"/>
  <c r="E37" i="70"/>
  <c r="F37" i="70" s="1"/>
  <c r="G37" i="70" s="1"/>
  <c r="E30" i="17"/>
  <c r="F30" i="17" s="1"/>
  <c r="G30" i="17" s="1"/>
  <c r="E27" i="47"/>
  <c r="F27" i="47" s="1"/>
  <c r="G27" i="47" s="1"/>
  <c r="E30" i="33"/>
  <c r="F30" i="33" s="1"/>
  <c r="G30" i="33" s="1"/>
  <c r="E49" i="72"/>
  <c r="F49" i="72" s="1"/>
  <c r="G49" i="72" s="1"/>
  <c r="E42" i="7"/>
  <c r="F42" i="7" s="1"/>
  <c r="G42" i="7" s="1"/>
  <c r="E40" i="20"/>
  <c r="F40" i="20" s="1"/>
  <c r="G40" i="20" s="1"/>
  <c r="E45" i="71"/>
  <c r="F45" i="71" s="1"/>
  <c r="G45" i="71" s="1"/>
  <c r="E37" i="34"/>
  <c r="F37" i="34" s="1"/>
  <c r="G37" i="34" s="1"/>
  <c r="E43" i="81"/>
  <c r="F43" i="81" s="1"/>
  <c r="G43" i="81" s="1"/>
  <c r="E40" i="70"/>
  <c r="F40" i="70" s="1"/>
  <c r="G40" i="70" s="1"/>
  <c r="E46" i="7"/>
  <c r="F46" i="7" s="1"/>
  <c r="G46" i="7" s="1"/>
  <c r="E48" i="3"/>
  <c r="F48" i="3" s="1"/>
  <c r="G48" i="3" s="1"/>
  <c r="E49" i="54"/>
  <c r="F49" i="54" s="1"/>
  <c r="G49" i="54" s="1"/>
  <c r="E39" i="44"/>
  <c r="F39" i="44" s="1"/>
  <c r="G39" i="44" s="1"/>
  <c r="E37" i="47"/>
  <c r="F37" i="47" s="1"/>
  <c r="G37" i="47" s="1"/>
  <c r="E35" i="48"/>
  <c r="F35" i="48" s="1"/>
  <c r="G35" i="48" s="1"/>
  <c r="E45" i="5"/>
  <c r="F45" i="5" s="1"/>
  <c r="G45" i="5" s="1"/>
  <c r="E37" i="17"/>
  <c r="F37" i="17" s="1"/>
  <c r="G37" i="17" s="1"/>
  <c r="E36" i="46"/>
  <c r="F36" i="46" s="1"/>
  <c r="G36" i="46" s="1"/>
  <c r="E33" i="51"/>
  <c r="F33" i="51" s="1"/>
  <c r="G33" i="51" s="1"/>
  <c r="E30" i="19"/>
  <c r="F30" i="19" s="1"/>
  <c r="G30" i="19" s="1"/>
  <c r="E28" i="48"/>
  <c r="F28" i="48" s="1"/>
  <c r="G28" i="48" s="1"/>
  <c r="E29" i="33"/>
  <c r="F29" i="33" s="1"/>
  <c r="G29" i="33" s="1"/>
  <c r="E42" i="54"/>
  <c r="F42" i="54" s="1"/>
  <c r="G42" i="54" s="1"/>
  <c r="E55" i="61"/>
  <c r="F55" i="61" s="1"/>
  <c r="G55" i="61" s="1"/>
  <c r="K69" i="3"/>
  <c r="N69" i="3" s="1"/>
  <c r="A69" i="3" s="1"/>
  <c r="E37" i="78"/>
  <c r="F37" i="78" s="1"/>
  <c r="G37" i="78" s="1"/>
  <c r="E49" i="7"/>
  <c r="F49" i="7" s="1"/>
  <c r="G49" i="7" s="1"/>
  <c r="E40" i="34"/>
  <c r="F40" i="34" s="1"/>
  <c r="G40" i="34" s="1"/>
  <c r="E53" i="51"/>
  <c r="F53" i="51" s="1"/>
  <c r="G53" i="51" s="1"/>
  <c r="E37" i="62"/>
  <c r="F37" i="62" s="1"/>
  <c r="G37" i="62" s="1"/>
  <c r="E45" i="37"/>
  <c r="F45" i="37" s="1"/>
  <c r="G45" i="37" s="1"/>
  <c r="E48" i="71"/>
  <c r="F48" i="71" s="1"/>
  <c r="G48" i="71" s="1"/>
  <c r="E40" i="56"/>
  <c r="F40" i="56" s="1"/>
  <c r="G40" i="56" s="1"/>
  <c r="E40" i="62"/>
  <c r="F40" i="62" s="1"/>
  <c r="G40" i="62" s="1"/>
  <c r="E40" i="58"/>
  <c r="F40" i="58" s="1"/>
  <c r="G40" i="58" s="1"/>
  <c r="E34" i="47"/>
  <c r="F34" i="47" s="1"/>
  <c r="G34" i="47" s="1"/>
  <c r="E45" i="31"/>
  <c r="F45" i="31" s="1"/>
  <c r="G45" i="31" s="1"/>
  <c r="E37" i="18"/>
  <c r="F37" i="18" s="1"/>
  <c r="G37" i="18" s="1"/>
  <c r="E51" i="78"/>
  <c r="F51" i="78" s="1"/>
  <c r="G51" i="78" s="1"/>
  <c r="E32" i="53"/>
  <c r="F32" i="53" s="1"/>
  <c r="G32" i="53" s="1"/>
  <c r="E30" i="20"/>
  <c r="F30" i="20" s="1"/>
  <c r="G30" i="20" s="1"/>
  <c r="E30" i="62"/>
  <c r="F30" i="62" s="1"/>
  <c r="G30" i="62" s="1"/>
  <c r="E48" i="6"/>
  <c r="F48" i="6" s="1"/>
  <c r="G48" i="6" s="1"/>
  <c r="E28" i="62"/>
  <c r="F28" i="62" s="1"/>
  <c r="G28" i="62" s="1"/>
  <c r="E29" i="62"/>
  <c r="F29" i="62" s="1"/>
  <c r="G29" i="62" s="1"/>
  <c r="E29" i="17"/>
  <c r="F29" i="17" s="1"/>
  <c r="G29" i="17" s="1"/>
  <c r="E48" i="30"/>
  <c r="F48" i="30" s="1"/>
  <c r="G48" i="30" s="1"/>
  <c r="E41" i="8"/>
  <c r="F41" i="8" s="1"/>
  <c r="G41" i="8" s="1"/>
  <c r="E40" i="61"/>
  <c r="F40" i="61" s="1"/>
  <c r="G40" i="61" s="1"/>
  <c r="E38" i="8"/>
  <c r="F38" i="8" s="1"/>
  <c r="G38" i="8" s="1"/>
  <c r="E58" i="37"/>
  <c r="F58" i="37" s="1"/>
  <c r="G58" i="37" s="1"/>
  <c r="E46" i="53"/>
  <c r="F46" i="53" s="1"/>
  <c r="G46" i="53" s="1"/>
  <c r="S28" i="30"/>
  <c r="V28" i="30" s="1"/>
  <c r="S29" i="30"/>
  <c r="T29" i="30" s="1"/>
  <c r="S30" i="30"/>
  <c r="V26" i="30"/>
  <c r="L13" i="55"/>
  <c r="T24" i="6"/>
  <c r="R26" i="55"/>
  <c r="T21" i="6"/>
  <c r="S25" i="6"/>
  <c r="S21" i="7"/>
  <c r="C13" i="6"/>
  <c r="D57" i="6"/>
  <c r="Q27" i="7"/>
  <c r="E42" i="5"/>
  <c r="F42" i="5" s="1"/>
  <c r="G42" i="5" s="1"/>
  <c r="F272" i="1"/>
  <c r="E272" i="1"/>
  <c r="C36" i="80"/>
  <c r="C45" i="78"/>
  <c r="C43" i="7"/>
  <c r="C35" i="18"/>
  <c r="C35" i="34"/>
  <c r="C51" i="80"/>
  <c r="C50" i="46"/>
  <c r="C55" i="56"/>
  <c r="C55" i="62"/>
  <c r="C55" i="18"/>
  <c r="E698" i="1"/>
  <c r="F699" i="1"/>
  <c r="C31" i="81"/>
  <c r="E701" i="1"/>
  <c r="F701" i="1"/>
  <c r="E695" i="1"/>
  <c r="C52" i="46"/>
  <c r="C54" i="48"/>
  <c r="C56" i="20"/>
  <c r="C57" i="18"/>
  <c r="C57" i="34"/>
  <c r="C56" i="70"/>
  <c r="C57" i="17"/>
  <c r="C51" i="46"/>
  <c r="C43" i="31"/>
  <c r="C35" i="70"/>
  <c r="C36" i="81"/>
  <c r="F602" i="1"/>
  <c r="E602" i="1"/>
  <c r="C35" i="80"/>
  <c r="C34" i="58"/>
  <c r="C34" i="56"/>
  <c r="C39" i="74"/>
  <c r="C34" i="70"/>
  <c r="C42" i="30"/>
  <c r="E12" i="1"/>
  <c r="F12" i="1"/>
  <c r="E709" i="1"/>
  <c r="F709" i="1"/>
  <c r="G272" i="1"/>
  <c r="F410" i="1"/>
  <c r="C35" i="58"/>
  <c r="C32" i="47"/>
  <c r="C35" i="33"/>
  <c r="C36" i="8"/>
  <c r="C43" i="5"/>
  <c r="C40" i="74"/>
  <c r="C43" i="30"/>
  <c r="C34" i="46"/>
  <c r="C34" i="44"/>
  <c r="C35" i="19"/>
  <c r="C35" i="17"/>
  <c r="C43" i="6"/>
  <c r="C43" i="71"/>
  <c r="C44" i="72"/>
  <c r="F124" i="1"/>
  <c r="E124" i="1"/>
  <c r="C56" i="62"/>
  <c r="C54" i="44"/>
  <c r="C56" i="17"/>
  <c r="C56" i="31"/>
  <c r="C54" i="3"/>
  <c r="C56" i="34"/>
  <c r="C55" i="20"/>
  <c r="C57" i="8"/>
  <c r="C54" i="4"/>
  <c r="C56" i="61"/>
  <c r="C53" i="48"/>
  <c r="C56" i="18"/>
  <c r="C54" i="7"/>
  <c r="C37" i="81"/>
  <c r="C49" i="71"/>
  <c r="C48" i="51"/>
  <c r="C38" i="33"/>
  <c r="C46" i="6"/>
  <c r="C38" i="18"/>
  <c r="C46" i="4"/>
  <c r="C38" i="19"/>
  <c r="C36" i="34"/>
  <c r="C44" i="31"/>
  <c r="C36" i="17"/>
  <c r="C33" i="47"/>
  <c r="C45" i="7"/>
  <c r="E54" i="6"/>
  <c r="F54" i="6" s="1"/>
  <c r="G54" i="6" s="1"/>
  <c r="E55" i="54"/>
  <c r="F55" i="54" s="1"/>
  <c r="G55" i="54" s="1"/>
  <c r="E55" i="7"/>
  <c r="F55" i="7" s="1"/>
  <c r="G55" i="7" s="1"/>
  <c r="E39" i="70"/>
  <c r="F39" i="70" s="1"/>
  <c r="G39" i="70" s="1"/>
  <c r="E51" i="72"/>
  <c r="F51" i="72" s="1"/>
  <c r="G51" i="72" s="1"/>
  <c r="E35" i="44"/>
  <c r="F35" i="44" s="1"/>
  <c r="G35" i="44" s="1"/>
  <c r="E38" i="34"/>
  <c r="F38" i="34" s="1"/>
  <c r="G38" i="34" s="1"/>
  <c r="E52" i="78"/>
  <c r="F52" i="78" s="1"/>
  <c r="G52" i="78" s="1"/>
  <c r="E572" i="1"/>
  <c r="F29" i="48"/>
  <c r="G29" i="48" s="1"/>
  <c r="E129" i="1"/>
  <c r="F140" i="1"/>
  <c r="E140" i="1"/>
  <c r="E63" i="1"/>
  <c r="E148" i="1"/>
  <c r="F154" i="1"/>
  <c r="F156" i="1"/>
  <c r="F158" i="1"/>
  <c r="G69" i="1"/>
  <c r="F71" i="1"/>
  <c r="F128" i="1"/>
  <c r="F132" i="1"/>
  <c r="E64" i="1"/>
  <c r="E58" i="1"/>
  <c r="E56" i="1"/>
  <c r="E135" i="1"/>
  <c r="F137" i="1"/>
  <c r="F520" i="1"/>
  <c r="C9" i="80"/>
  <c r="C10" i="80" s="1"/>
  <c r="C43" i="56"/>
  <c r="E40" i="8"/>
  <c r="F40" i="8" s="1"/>
  <c r="G40" i="8" s="1"/>
  <c r="F32" i="55"/>
  <c r="G32" i="55" s="1"/>
  <c r="K23" i="80"/>
  <c r="E36" i="81"/>
  <c r="F36" i="81" s="1"/>
  <c r="G36" i="81" s="1"/>
  <c r="E36" i="51"/>
  <c r="F36" i="51" s="1"/>
  <c r="G36" i="51" s="1"/>
  <c r="E45" i="53"/>
  <c r="F45" i="53" s="1"/>
  <c r="G45" i="53" s="1"/>
  <c r="E49" i="30"/>
  <c r="F49" i="30" s="1"/>
  <c r="G49" i="30" s="1"/>
  <c r="E50" i="54"/>
  <c r="F50" i="54" s="1"/>
  <c r="G50" i="54" s="1"/>
  <c r="E29" i="19"/>
  <c r="F29" i="19" s="1"/>
  <c r="G29" i="19" s="1"/>
  <c r="E29" i="61"/>
  <c r="F29" i="61" s="1"/>
  <c r="G29" i="61" s="1"/>
  <c r="E39" i="37"/>
  <c r="F39" i="37" s="1"/>
  <c r="G39" i="37" s="1"/>
  <c r="E43" i="72"/>
  <c r="F43" i="72" s="1"/>
  <c r="G43" i="72" s="1"/>
  <c r="E35" i="8"/>
  <c r="F35" i="8" s="1"/>
  <c r="G35" i="8" s="1"/>
  <c r="E32" i="48"/>
  <c r="F32" i="48" s="1"/>
  <c r="G32" i="48" s="1"/>
  <c r="E45" i="78"/>
  <c r="F45" i="78" s="1"/>
  <c r="G45" i="78" s="1"/>
  <c r="E52" i="80"/>
  <c r="F52" i="80" s="1"/>
  <c r="G52" i="80" s="1"/>
  <c r="E51" i="46"/>
  <c r="F51" i="46" s="1"/>
  <c r="G51" i="46" s="1"/>
  <c r="E56" i="19"/>
  <c r="F56" i="19" s="1"/>
  <c r="G56" i="19" s="1"/>
  <c r="E56" i="34"/>
  <c r="F56" i="34" s="1"/>
  <c r="G56" i="34" s="1"/>
  <c r="E54" i="7"/>
  <c r="F54" i="7" s="1"/>
  <c r="G54" i="7" s="1"/>
  <c r="E48" i="51"/>
  <c r="F48" i="51" s="1"/>
  <c r="G48" i="51" s="1"/>
  <c r="E49" i="31"/>
  <c r="F49" i="31" s="1"/>
  <c r="G49" i="31" s="1"/>
  <c r="E38" i="20"/>
  <c r="F38" i="20" s="1"/>
  <c r="G38" i="20" s="1"/>
  <c r="E43" i="37"/>
  <c r="F43" i="37" s="1"/>
  <c r="G43" i="37" s="1"/>
  <c r="E37" i="46"/>
  <c r="F37" i="46" s="1"/>
  <c r="G37" i="46" s="1"/>
  <c r="E39" i="8"/>
  <c r="F39" i="8" s="1"/>
  <c r="G39" i="8" s="1"/>
  <c r="E33" i="47"/>
  <c r="F33" i="47" s="1"/>
  <c r="G33" i="47" s="1"/>
  <c r="E36" i="19"/>
  <c r="F36" i="19" s="1"/>
  <c r="G36" i="19" s="1"/>
  <c r="E45" i="54"/>
  <c r="F45" i="54" s="1"/>
  <c r="G45" i="54" s="1"/>
  <c r="E44" i="5"/>
  <c r="F44" i="5" s="1"/>
  <c r="G44" i="5" s="1"/>
  <c r="E44" i="4"/>
  <c r="F44" i="4" s="1"/>
  <c r="G44" i="4" s="1"/>
  <c r="E50" i="53"/>
  <c r="F50" i="53" s="1"/>
  <c r="G50" i="53" s="1"/>
  <c r="E36" i="34"/>
  <c r="F36" i="34" s="1"/>
  <c r="G36" i="34" s="1"/>
  <c r="E37" i="8"/>
  <c r="F37" i="8" s="1"/>
  <c r="G37" i="8" s="1"/>
  <c r="E45" i="7"/>
  <c r="F45" i="7" s="1"/>
  <c r="G45" i="7" s="1"/>
  <c r="E44" i="71"/>
  <c r="F44" i="71" s="1"/>
  <c r="G44" i="71" s="1"/>
  <c r="E44" i="30"/>
  <c r="F44" i="30" s="1"/>
  <c r="G44" i="30" s="1"/>
  <c r="E38" i="44"/>
  <c r="F38" i="44" s="1"/>
  <c r="G38" i="44" s="1"/>
  <c r="E39" i="17"/>
  <c r="F39" i="17" s="1"/>
  <c r="G39" i="17" s="1"/>
  <c r="E48" i="54"/>
  <c r="F48" i="54" s="1"/>
  <c r="G48" i="54" s="1"/>
  <c r="E47" i="30"/>
  <c r="F47" i="30" s="1"/>
  <c r="G47" i="30" s="1"/>
  <c r="E39" i="58"/>
  <c r="F39" i="58" s="1"/>
  <c r="G39" i="58" s="1"/>
  <c r="E39" i="33"/>
  <c r="F39" i="33" s="1"/>
  <c r="G39" i="33" s="1"/>
  <c r="E39" i="56"/>
  <c r="F39" i="56" s="1"/>
  <c r="G39" i="56" s="1"/>
  <c r="E47" i="6"/>
  <c r="F47" i="6" s="1"/>
  <c r="G47" i="6" s="1"/>
  <c r="E47" i="4"/>
  <c r="F47" i="4" s="1"/>
  <c r="G47" i="4" s="1"/>
  <c r="E42" i="8"/>
  <c r="F42" i="8" s="1"/>
  <c r="G42" i="8" s="1"/>
  <c r="E28" i="46"/>
  <c r="F28" i="46" s="1"/>
  <c r="G28" i="46" s="1"/>
  <c r="E27" i="48"/>
  <c r="F27" i="48" s="1"/>
  <c r="G27" i="48" s="1"/>
  <c r="E30" i="8"/>
  <c r="F30" i="8" s="1"/>
  <c r="G30" i="8" s="1"/>
  <c r="E41" i="62"/>
  <c r="F41" i="62" s="1"/>
  <c r="G41" i="62" s="1"/>
  <c r="E41" i="70"/>
  <c r="F41" i="70" s="1"/>
  <c r="G41" i="70" s="1"/>
  <c r="E50" i="7"/>
  <c r="F50" i="7" s="1"/>
  <c r="G50" i="7" s="1"/>
  <c r="E53" i="72"/>
  <c r="F53" i="72" s="1"/>
  <c r="G53" i="72" s="1"/>
  <c r="E38" i="47"/>
  <c r="F38" i="47" s="1"/>
  <c r="G38" i="47" s="1"/>
  <c r="E41" i="19"/>
  <c r="F41" i="19" s="1"/>
  <c r="G41" i="19" s="1"/>
  <c r="E26" i="47"/>
  <c r="F26" i="47" s="1"/>
  <c r="G26" i="47" s="1"/>
  <c r="E42" i="30"/>
  <c r="F42" i="30" s="1"/>
  <c r="G42" i="30" s="1"/>
  <c r="E42" i="4"/>
  <c r="F42" i="4" s="1"/>
  <c r="G42" i="4" s="1"/>
  <c r="E29" i="70"/>
  <c r="F29" i="70" s="1"/>
  <c r="G29" i="70" s="1"/>
  <c r="E34" i="56"/>
  <c r="F34" i="56" s="1"/>
  <c r="G34" i="56" s="1"/>
  <c r="E34" i="34"/>
  <c r="F34" i="34" s="1"/>
  <c r="G34" i="34" s="1"/>
  <c r="E36" i="80"/>
  <c r="F36" i="80" s="1"/>
  <c r="G36" i="80" s="1"/>
  <c r="E56" i="31"/>
  <c r="F56" i="31" s="1"/>
  <c r="G56" i="31" s="1"/>
  <c r="E57" i="51"/>
  <c r="F57" i="51" s="1"/>
  <c r="G57" i="51" s="1"/>
  <c r="E35" i="5"/>
  <c r="F35" i="5" s="1"/>
  <c r="G35" i="5" s="1"/>
  <c r="E39" i="51"/>
  <c r="F39" i="51" s="1"/>
  <c r="G39" i="51" s="1"/>
  <c r="E53" i="3"/>
  <c r="F53" i="3" s="1"/>
  <c r="G53" i="3" s="1"/>
  <c r="E35" i="4"/>
  <c r="F35" i="4" s="1"/>
  <c r="G35" i="4" s="1"/>
  <c r="E54" i="5"/>
  <c r="F54" i="5" s="1"/>
  <c r="G54" i="5" s="1"/>
  <c r="E53" i="4"/>
  <c r="F53" i="4" s="1"/>
  <c r="G53" i="4" s="1"/>
  <c r="E35" i="80"/>
  <c r="F35" i="80" s="1"/>
  <c r="G35" i="80" s="1"/>
  <c r="E44" i="78"/>
  <c r="F44" i="78" s="1"/>
  <c r="G44" i="78" s="1"/>
  <c r="E34" i="62"/>
  <c r="F34" i="62" s="1"/>
  <c r="G34" i="62" s="1"/>
  <c r="E34" i="33"/>
  <c r="F34" i="33" s="1"/>
  <c r="G34" i="33" s="1"/>
  <c r="E34" i="19"/>
  <c r="F34" i="19" s="1"/>
  <c r="G34" i="19" s="1"/>
  <c r="E42" i="6"/>
  <c r="F42" i="6" s="1"/>
  <c r="G42" i="6" s="1"/>
  <c r="E42" i="31"/>
  <c r="F42" i="31" s="1"/>
  <c r="G42" i="31" s="1"/>
  <c r="E42" i="3"/>
  <c r="F42" i="3" s="1"/>
  <c r="G42" i="3" s="1"/>
  <c r="E29" i="34"/>
  <c r="F29" i="34" s="1"/>
  <c r="G29" i="34" s="1"/>
  <c r="E49" i="4"/>
  <c r="F49" i="4" s="1"/>
  <c r="G49" i="4" s="1"/>
  <c r="E47" i="37"/>
  <c r="F47" i="37" s="1"/>
  <c r="G47" i="37" s="1"/>
  <c r="E29" i="18"/>
  <c r="F29" i="18" s="1"/>
  <c r="G29" i="18" s="1"/>
  <c r="E28" i="44"/>
  <c r="F28" i="44" s="1"/>
  <c r="G28" i="44" s="1"/>
  <c r="E42" i="71"/>
  <c r="F42" i="71" s="1"/>
  <c r="G42" i="71" s="1"/>
  <c r="E39" i="74"/>
  <c r="F39" i="74" s="1"/>
  <c r="G39" i="74" s="1"/>
  <c r="E45" i="55"/>
  <c r="F45" i="55" s="1"/>
  <c r="G45" i="55" s="1"/>
  <c r="E34" i="18"/>
  <c r="F34" i="18" s="1"/>
  <c r="G34" i="18" s="1"/>
  <c r="E33" i="46"/>
  <c r="F33" i="46" s="1"/>
  <c r="G33" i="46" s="1"/>
  <c r="E29" i="56"/>
  <c r="F29" i="56" s="1"/>
  <c r="G29" i="56" s="1"/>
  <c r="E34" i="46"/>
  <c r="F34" i="46" s="1"/>
  <c r="G34" i="46" s="1"/>
  <c r="E35" i="18"/>
  <c r="F35" i="18" s="1"/>
  <c r="G35" i="18" s="1"/>
  <c r="E40" i="37"/>
  <c r="F40" i="37" s="1"/>
  <c r="G40" i="37" s="1"/>
  <c r="E43" i="4"/>
  <c r="F43" i="4" s="1"/>
  <c r="G43" i="4" s="1"/>
  <c r="E37" i="48"/>
  <c r="F37" i="48" s="1"/>
  <c r="G37" i="48" s="1"/>
  <c r="E44" i="6"/>
  <c r="F44" i="6" s="1"/>
  <c r="G44" i="6" s="1"/>
  <c r="E36" i="56"/>
  <c r="F36" i="56" s="1"/>
  <c r="G36" i="56" s="1"/>
  <c r="E36" i="61"/>
  <c r="F36" i="61" s="1"/>
  <c r="G36" i="61" s="1"/>
  <c r="E38" i="70"/>
  <c r="F38" i="70" s="1"/>
  <c r="G38" i="70" s="1"/>
  <c r="E55" i="70"/>
  <c r="F55" i="70" s="1"/>
  <c r="G55" i="70" s="1"/>
  <c r="E40" i="44"/>
  <c r="F40" i="44" s="1"/>
  <c r="G40" i="44" s="1"/>
  <c r="E48" i="31"/>
  <c r="F48" i="31" s="1"/>
  <c r="G48" i="31" s="1"/>
  <c r="E40" i="17"/>
  <c r="F40" i="17" s="1"/>
  <c r="G40" i="17" s="1"/>
  <c r="E40" i="33"/>
  <c r="F40" i="33" s="1"/>
  <c r="G40" i="33" s="1"/>
  <c r="E39" i="46"/>
  <c r="F39" i="46" s="1"/>
  <c r="G39" i="46" s="1"/>
  <c r="E45" i="3"/>
  <c r="F45" i="3" s="1"/>
  <c r="G45" i="3" s="1"/>
  <c r="E37" i="20"/>
  <c r="F37" i="20" s="1"/>
  <c r="G37" i="20" s="1"/>
  <c r="E51" i="53"/>
  <c r="F51" i="53" s="1"/>
  <c r="G51" i="53" s="1"/>
  <c r="C28" i="81"/>
  <c r="C28" i="80"/>
  <c r="C30" i="58"/>
  <c r="F706" i="1"/>
  <c r="E56" i="17"/>
  <c r="F56" i="17" s="1"/>
  <c r="G56" i="17" s="1"/>
  <c r="E56" i="18"/>
  <c r="F56" i="18" s="1"/>
  <c r="G56" i="18" s="1"/>
  <c r="E54" i="4"/>
  <c r="F54" i="4" s="1"/>
  <c r="G54" i="4" s="1"/>
  <c r="E37" i="81"/>
  <c r="F37" i="81" s="1"/>
  <c r="G37" i="81" s="1"/>
  <c r="E49" i="71"/>
  <c r="F49" i="71" s="1"/>
  <c r="G49" i="71" s="1"/>
  <c r="E43" i="74"/>
  <c r="F43" i="74" s="1"/>
  <c r="G43" i="74" s="1"/>
  <c r="E38" i="33"/>
  <c r="F38" i="33" s="1"/>
  <c r="G38" i="33" s="1"/>
  <c r="E38" i="18"/>
  <c r="F38" i="18" s="1"/>
  <c r="G38" i="18" s="1"/>
  <c r="E47" i="7"/>
  <c r="F47" i="7" s="1"/>
  <c r="G47" i="7" s="1"/>
  <c r="C51" i="78"/>
  <c r="C51" i="53"/>
  <c r="C34" i="47"/>
  <c r="C37" i="70"/>
  <c r="C37" i="19"/>
  <c r="C45" i="71"/>
  <c r="C45" i="3"/>
  <c r="C40" i="58"/>
  <c r="C39" i="44"/>
  <c r="C40" i="56"/>
  <c r="C48" i="71"/>
  <c r="E57" i="17"/>
  <c r="F57" i="17" s="1"/>
  <c r="G57" i="17" s="1"/>
  <c r="E56" i="70"/>
  <c r="F56" i="70" s="1"/>
  <c r="G56" i="70" s="1"/>
  <c r="E57" i="34"/>
  <c r="F57" i="34" s="1"/>
  <c r="G57" i="34" s="1"/>
  <c r="E44" i="55"/>
  <c r="F44" i="55" s="1"/>
  <c r="G44" i="55" s="1"/>
  <c r="E34" i="61"/>
  <c r="F34" i="61" s="1"/>
  <c r="G34" i="61" s="1"/>
  <c r="E31" i="80"/>
  <c r="F31" i="80" s="1"/>
  <c r="G31" i="80" s="1"/>
  <c r="E44" i="53"/>
  <c r="F44" i="53" s="1"/>
  <c r="G44" i="53" s="1"/>
  <c r="C46" i="51"/>
  <c r="C32" i="48"/>
  <c r="C45" i="55"/>
  <c r="E705" i="1"/>
  <c r="C29" i="81"/>
  <c r="E43" i="61"/>
  <c r="F43" i="61" s="1"/>
  <c r="G43" i="61" s="1"/>
  <c r="E43" i="33"/>
  <c r="F43" i="33" s="1"/>
  <c r="G43" i="33" s="1"/>
  <c r="E64" i="78"/>
  <c r="F64" i="78" s="1"/>
  <c r="G64" i="78" s="1"/>
  <c r="C54" i="5"/>
  <c r="E46" i="6"/>
  <c r="F46" i="6" s="1"/>
  <c r="G46" i="6" s="1"/>
  <c r="E38" i="19"/>
  <c r="F38" i="19" s="1"/>
  <c r="G38" i="19" s="1"/>
  <c r="E38" i="61"/>
  <c r="F38" i="61" s="1"/>
  <c r="G38" i="61" s="1"/>
  <c r="E53" i="5"/>
  <c r="F53" i="5" s="1"/>
  <c r="G53" i="5" s="1"/>
  <c r="E57" i="8"/>
  <c r="F57" i="8" s="1"/>
  <c r="G57" i="8" s="1"/>
  <c r="E56" i="56"/>
  <c r="F56" i="56" s="1"/>
  <c r="G56" i="56" s="1"/>
  <c r="E56" i="62"/>
  <c r="F56" i="62" s="1"/>
  <c r="G56" i="62" s="1"/>
  <c r="C48" i="31"/>
  <c r="C40" i="17"/>
  <c r="C38" i="48"/>
  <c r="C53" i="53"/>
  <c r="C45" i="6"/>
  <c r="C37" i="56"/>
  <c r="C36" i="44"/>
  <c r="C37" i="61"/>
  <c r="E52" i="81"/>
  <c r="F52" i="81" s="1"/>
  <c r="G52" i="81" s="1"/>
  <c r="C41" i="81"/>
  <c r="C52" i="80"/>
  <c r="C55" i="58"/>
  <c r="C48" i="47"/>
  <c r="C55" i="33"/>
  <c r="C56" i="56"/>
  <c r="C54" i="54"/>
  <c r="C53" i="5"/>
  <c r="E40" i="80"/>
  <c r="F40" i="80" s="1"/>
  <c r="G40" i="80" s="1"/>
  <c r="E48" i="72"/>
  <c r="F48" i="72" s="1"/>
  <c r="G48" i="72" s="1"/>
  <c r="E36" i="33"/>
  <c r="F36" i="33" s="1"/>
  <c r="G36" i="33" s="1"/>
  <c r="E36" i="18"/>
  <c r="F36" i="18" s="1"/>
  <c r="G36" i="18" s="1"/>
  <c r="E36" i="17"/>
  <c r="F36" i="17" s="1"/>
  <c r="G36" i="17" s="1"/>
  <c r="E52" i="51"/>
  <c r="F52" i="51" s="1"/>
  <c r="G52" i="51" s="1"/>
  <c r="E44" i="3"/>
  <c r="F44" i="3" s="1"/>
  <c r="G44" i="3" s="1"/>
  <c r="E44" i="74"/>
  <c r="F44" i="74" s="1"/>
  <c r="G44" i="74" s="1"/>
  <c r="E52" i="53"/>
  <c r="F52" i="53" s="1"/>
  <c r="G52" i="53" s="1"/>
  <c r="E38" i="46"/>
  <c r="F38" i="46" s="1"/>
  <c r="G38" i="46" s="1"/>
  <c r="E39" i="19"/>
  <c r="F39" i="19" s="1"/>
  <c r="G39" i="19" s="1"/>
  <c r="E47" i="71"/>
  <c r="F47" i="71" s="1"/>
  <c r="G47" i="71" s="1"/>
  <c r="E47" i="3"/>
  <c r="F47" i="3" s="1"/>
  <c r="G47" i="3" s="1"/>
  <c r="C41" i="47"/>
  <c r="E40" i="48"/>
  <c r="F40" i="48" s="1"/>
  <c r="G40" i="48" s="1"/>
  <c r="E42" i="56"/>
  <c r="F42" i="56" s="1"/>
  <c r="G42" i="56" s="1"/>
  <c r="E50" i="5"/>
  <c r="F50" i="5" s="1"/>
  <c r="G50" i="5" s="1"/>
  <c r="E56" i="20"/>
  <c r="F56" i="20" s="1"/>
  <c r="G56" i="20" s="1"/>
  <c r="E46" i="51"/>
  <c r="F46" i="51" s="1"/>
  <c r="G46" i="51" s="1"/>
  <c r="E34" i="17"/>
  <c r="F34" i="17" s="1"/>
  <c r="G34" i="17" s="1"/>
  <c r="E34" i="20"/>
  <c r="F34" i="20" s="1"/>
  <c r="G34" i="20" s="1"/>
  <c r="E33" i="44"/>
  <c r="F33" i="44" s="1"/>
  <c r="G33" i="44" s="1"/>
  <c r="E31" i="47"/>
  <c r="F31" i="47" s="1"/>
  <c r="G31" i="47" s="1"/>
  <c r="E34" i="58"/>
  <c r="F34" i="58" s="1"/>
  <c r="G34" i="58" s="1"/>
  <c r="F698" i="1"/>
  <c r="F700" i="1"/>
  <c r="E699" i="1"/>
  <c r="C43" i="62"/>
  <c r="C43" i="58"/>
  <c r="C43" i="70"/>
  <c r="C32" i="78"/>
  <c r="E46" i="3"/>
  <c r="F46" i="3" s="1"/>
  <c r="G46" i="3" s="1"/>
  <c r="E46" i="5"/>
  <c r="F46" i="5" s="1"/>
  <c r="G46" i="5" s="1"/>
  <c r="E38" i="56"/>
  <c r="F38" i="56" s="1"/>
  <c r="G38" i="56" s="1"/>
  <c r="E36" i="48"/>
  <c r="F36" i="48" s="1"/>
  <c r="G36" i="48" s="1"/>
  <c r="E50" i="72"/>
  <c r="F50" i="72" s="1"/>
  <c r="G50" i="72" s="1"/>
  <c r="E54" i="3"/>
  <c r="F54" i="3" s="1"/>
  <c r="G54" i="3" s="1"/>
  <c r="E54" i="54"/>
  <c r="F54" i="54" s="1"/>
  <c r="G54" i="54" s="1"/>
  <c r="E55" i="20"/>
  <c r="F55" i="20" s="1"/>
  <c r="G55" i="20" s="1"/>
  <c r="E54" i="44"/>
  <c r="F54" i="44" s="1"/>
  <c r="G54" i="44" s="1"/>
  <c r="C48" i="3"/>
  <c r="C49" i="7"/>
  <c r="C41" i="8"/>
  <c r="C37" i="47"/>
  <c r="C52" i="72"/>
  <c r="C46" i="54"/>
  <c r="C38" i="8"/>
  <c r="C37" i="34"/>
  <c r="C43" i="80"/>
  <c r="E28" i="81"/>
  <c r="F28" i="81" s="1"/>
  <c r="G28" i="81" s="1"/>
  <c r="E32" i="78"/>
  <c r="F32" i="78" s="1"/>
  <c r="G32" i="78" s="1"/>
  <c r="C38" i="61"/>
  <c r="C47" i="54"/>
  <c r="C50" i="78"/>
  <c r="C36" i="62"/>
  <c r="C36" i="56"/>
  <c r="C44" i="5"/>
  <c r="E46" i="37"/>
  <c r="F46" i="37" s="1"/>
  <c r="G46" i="37" s="1"/>
  <c r="E41" i="58"/>
  <c r="F41" i="58" s="1"/>
  <c r="G41" i="58" s="1"/>
  <c r="E41" i="33"/>
  <c r="F41" i="33" s="1"/>
  <c r="G41" i="33" s="1"/>
  <c r="E41" i="56"/>
  <c r="F41" i="56" s="1"/>
  <c r="G41" i="56" s="1"/>
  <c r="E50" i="71"/>
  <c r="F50" i="71" s="1"/>
  <c r="G50" i="71" s="1"/>
  <c r="E43" i="20"/>
  <c r="F43" i="20" s="1"/>
  <c r="G43" i="20" s="1"/>
  <c r="E50" i="78"/>
  <c r="F50" i="78" s="1"/>
  <c r="G50" i="78" s="1"/>
  <c r="E41" i="74"/>
  <c r="F41" i="74" s="1"/>
  <c r="G41" i="74" s="1"/>
  <c r="E42" i="62"/>
  <c r="F42" i="62" s="1"/>
  <c r="G42" i="62" s="1"/>
  <c r="E39" i="47"/>
  <c r="F39" i="47" s="1"/>
  <c r="G39" i="47" s="1"/>
  <c r="H45" i="80"/>
  <c r="H39" i="81"/>
  <c r="H48" i="81"/>
  <c r="H44" i="74"/>
  <c r="H59" i="37"/>
  <c r="H31" i="58"/>
  <c r="C30" i="80"/>
  <c r="E43" i="19"/>
  <c r="F43" i="19" s="1"/>
  <c r="G43" i="19" s="1"/>
  <c r="E42" i="44"/>
  <c r="F42" i="44" s="1"/>
  <c r="G42" i="44" s="1"/>
  <c r="E43" i="58"/>
  <c r="F43" i="58" s="1"/>
  <c r="G43" i="58" s="1"/>
  <c r="E42" i="80"/>
  <c r="F42" i="80" s="1"/>
  <c r="G42" i="80" s="1"/>
  <c r="E43" i="34"/>
  <c r="F43" i="34" s="1"/>
  <c r="G43" i="34" s="1"/>
  <c r="C44" i="8"/>
  <c r="C43" i="34"/>
  <c r="E36" i="20"/>
  <c r="F36" i="20" s="1"/>
  <c r="G36" i="20" s="1"/>
  <c r="E35" i="46"/>
  <c r="F35" i="46" s="1"/>
  <c r="G35" i="46" s="1"/>
  <c r="E36" i="62"/>
  <c r="F36" i="62" s="1"/>
  <c r="E38" i="58"/>
  <c r="F38" i="58" s="1"/>
  <c r="G38" i="58" s="1"/>
  <c r="E38" i="62"/>
  <c r="F38" i="62" s="1"/>
  <c r="G38" i="62" s="1"/>
  <c r="E35" i="47"/>
  <c r="F35" i="47" s="1"/>
  <c r="G35" i="47" s="1"/>
  <c r="E37" i="44"/>
  <c r="F37" i="44" s="1"/>
  <c r="G37" i="44" s="1"/>
  <c r="E38" i="17"/>
  <c r="F38" i="17" s="1"/>
  <c r="G38" i="17" s="1"/>
  <c r="E47" i="54"/>
  <c r="F47" i="54" s="1"/>
  <c r="G47" i="54" s="1"/>
  <c r="E46" i="31"/>
  <c r="F46" i="31" s="1"/>
  <c r="G46" i="31" s="1"/>
  <c r="E46" i="30"/>
  <c r="F46" i="30" s="1"/>
  <c r="G46" i="30" s="1"/>
  <c r="C42" i="74"/>
  <c r="C37" i="58"/>
  <c r="C35" i="48"/>
  <c r="C37" i="20"/>
  <c r="C37" i="17"/>
  <c r="C46" i="7"/>
  <c r="C45" i="31"/>
  <c r="C45" i="30"/>
  <c r="C45" i="74"/>
  <c r="C53" i="78"/>
  <c r="C40" i="62"/>
  <c r="C40" i="34"/>
  <c r="C40" i="70"/>
  <c r="C40" i="19"/>
  <c r="C49" i="54"/>
  <c r="C48" i="5"/>
  <c r="C48" i="30"/>
  <c r="E43" i="46"/>
  <c r="F43" i="46" s="1"/>
  <c r="G43" i="46" s="1"/>
  <c r="E40" i="46"/>
  <c r="F40" i="46" s="1"/>
  <c r="G40" i="46" s="1"/>
  <c r="E41" i="34"/>
  <c r="F41" i="34" s="1"/>
  <c r="G41" i="34" s="1"/>
  <c r="E49" i="6"/>
  <c r="F49" i="6" s="1"/>
  <c r="G49" i="6" s="1"/>
  <c r="E41" i="20"/>
  <c r="F41" i="20" s="1"/>
  <c r="G41" i="20" s="1"/>
  <c r="E41" i="17"/>
  <c r="F41" i="17" s="1"/>
  <c r="G41" i="17" s="1"/>
  <c r="E41" i="18"/>
  <c r="F41" i="18" s="1"/>
  <c r="G41" i="18" s="1"/>
  <c r="E49" i="5"/>
  <c r="F49" i="5" s="1"/>
  <c r="G49" i="5" s="1"/>
  <c r="E49" i="3"/>
  <c r="F49" i="3" s="1"/>
  <c r="G49" i="3" s="1"/>
  <c r="E41" i="37"/>
  <c r="F41" i="37" s="1"/>
  <c r="G41" i="37" s="1"/>
  <c r="E40" i="81"/>
  <c r="F40" i="81" s="1"/>
  <c r="G40" i="81" s="1"/>
  <c r="E34" i="48"/>
  <c r="F34" i="48" s="1"/>
  <c r="G34" i="48" s="1"/>
  <c r="E42" i="81"/>
  <c r="F42" i="81" s="1"/>
  <c r="G42" i="81" s="1"/>
  <c r="E39" i="62"/>
  <c r="F39" i="62" s="1"/>
  <c r="G39" i="62" s="1"/>
  <c r="E36" i="47"/>
  <c r="F36" i="47" s="1"/>
  <c r="G36" i="47" s="1"/>
  <c r="E39" i="18"/>
  <c r="F39" i="18" s="1"/>
  <c r="G39" i="18" s="1"/>
  <c r="E48" i="7"/>
  <c r="F48" i="7" s="1"/>
  <c r="E47" i="5"/>
  <c r="F47" i="5" s="1"/>
  <c r="G47" i="5" s="1"/>
  <c r="A8" i="54"/>
  <c r="G57" i="37"/>
  <c r="C43" i="17"/>
  <c r="C43" i="19"/>
  <c r="C41" i="48"/>
  <c r="G53" i="6"/>
  <c r="F22" i="57"/>
  <c r="C42" i="37"/>
  <c r="E45" i="4"/>
  <c r="F45" i="4" s="1"/>
  <c r="G45" i="4" s="1"/>
  <c r="E45" i="6"/>
  <c r="F45" i="6" s="1"/>
  <c r="G45" i="6" s="1"/>
  <c r="E46" i="54"/>
  <c r="F46" i="54" s="1"/>
  <c r="G46" i="54" s="1"/>
  <c r="E37" i="19"/>
  <c r="F37" i="19" s="1"/>
  <c r="G37" i="19" s="1"/>
  <c r="E36" i="44"/>
  <c r="F36" i="44" s="1"/>
  <c r="G36" i="44" s="1"/>
  <c r="E37" i="58"/>
  <c r="F37" i="58" s="1"/>
  <c r="G37" i="58" s="1"/>
  <c r="E41" i="81"/>
  <c r="F41" i="81" s="1"/>
  <c r="G41" i="81" s="1"/>
  <c r="E42" i="74"/>
  <c r="F42" i="74" s="1"/>
  <c r="G42" i="74" s="1"/>
  <c r="E28" i="80"/>
  <c r="F28" i="80" s="1"/>
  <c r="C41" i="80"/>
  <c r="E42" i="17"/>
  <c r="F42" i="17" s="1"/>
  <c r="G42" i="17" s="1"/>
  <c r="E42" i="18"/>
  <c r="F42" i="18" s="1"/>
  <c r="G42" i="18" s="1"/>
  <c r="E42" i="70"/>
  <c r="F42" i="70" s="1"/>
  <c r="G42" i="70" s="1"/>
  <c r="E41" i="44"/>
  <c r="F41" i="44" s="1"/>
  <c r="G41" i="44" s="1"/>
  <c r="F587" i="1"/>
  <c r="K30" i="56"/>
  <c r="N12" i="3"/>
  <c r="C13" i="3"/>
  <c r="D57" i="3"/>
  <c r="L9" i="3"/>
  <c r="L11" i="3" s="1"/>
  <c r="O12" i="3"/>
  <c r="P12" i="3" s="1"/>
  <c r="R8" i="3"/>
  <c r="G63" i="37"/>
  <c r="G35" i="81"/>
  <c r="J28" i="47"/>
  <c r="F28" i="47"/>
  <c r="G28" i="47" s="1"/>
  <c r="C8" i="74"/>
  <c r="C9" i="74" s="1"/>
  <c r="F33" i="74"/>
  <c r="G33" i="74" s="1"/>
  <c r="J33" i="74"/>
  <c r="J31" i="74"/>
  <c r="F30" i="74"/>
  <c r="G30" i="74" s="1"/>
  <c r="F24" i="57"/>
  <c r="F33" i="57"/>
  <c r="F19" i="57"/>
  <c r="F21" i="57"/>
  <c r="G61" i="6"/>
  <c r="F44" i="57"/>
  <c r="F28" i="57"/>
  <c r="G51" i="74"/>
  <c r="F46" i="57"/>
  <c r="F23" i="57"/>
  <c r="F34" i="57"/>
  <c r="F18" i="57"/>
  <c r="L26" i="31"/>
  <c r="B12" i="17"/>
  <c r="B8" i="17"/>
  <c r="J30" i="17"/>
  <c r="C9" i="17"/>
  <c r="C10" i="17" s="1"/>
  <c r="C13" i="54"/>
  <c r="D58" i="54"/>
  <c r="Q8" i="54"/>
  <c r="K12" i="54"/>
  <c r="L12" i="54" s="1"/>
  <c r="K9" i="54"/>
  <c r="K11" i="54" s="1"/>
  <c r="K33" i="71"/>
  <c r="C10" i="78"/>
  <c r="K13" i="78" s="1"/>
  <c r="K29" i="56"/>
  <c r="C9" i="56"/>
  <c r="C10" i="56" s="1"/>
  <c r="B12" i="56"/>
  <c r="B11" i="56"/>
  <c r="D31" i="56" s="1"/>
  <c r="B8" i="78"/>
  <c r="B9" i="78" s="1"/>
  <c r="D58" i="78" s="1"/>
  <c r="G46" i="72"/>
  <c r="F14" i="57"/>
  <c r="F43" i="57"/>
  <c r="F27" i="57"/>
  <c r="F29" i="57"/>
  <c r="F45" i="57"/>
  <c r="F37" i="57"/>
  <c r="G47" i="72"/>
  <c r="F15" i="57"/>
  <c r="F47" i="57"/>
  <c r="G45" i="72"/>
  <c r="F13" i="57"/>
  <c r="F36" i="57"/>
  <c r="F20" i="57"/>
  <c r="F76" i="57"/>
  <c r="K9" i="78"/>
  <c r="K11" i="78" s="1"/>
  <c r="F34" i="78"/>
  <c r="G34" i="78" s="1"/>
  <c r="G66" i="37"/>
  <c r="G67" i="37"/>
  <c r="G49" i="47"/>
  <c r="G44" i="80"/>
  <c r="G36" i="70"/>
  <c r="G54" i="71"/>
  <c r="G55" i="18"/>
  <c r="G41" i="80"/>
  <c r="C10" i="31"/>
  <c r="C13" i="31"/>
  <c r="D59" i="31"/>
  <c r="G50" i="74"/>
  <c r="G48" i="74"/>
  <c r="G64" i="37"/>
  <c r="G50" i="37"/>
  <c r="G43" i="47"/>
  <c r="G44" i="47"/>
  <c r="G49" i="78"/>
  <c r="G61" i="78"/>
  <c r="K12" i="53"/>
  <c r="L12" i="53" s="1"/>
  <c r="K37" i="53"/>
  <c r="Q8" i="53"/>
  <c r="K9" i="53"/>
  <c r="K11" i="53" s="1"/>
  <c r="K13" i="53"/>
  <c r="C8" i="53"/>
  <c r="C9" i="53" s="1"/>
  <c r="D59" i="53" s="1"/>
  <c r="B34" i="86" l="1"/>
  <c r="I34" i="86" s="1"/>
  <c r="A65" i="86"/>
  <c r="A63" i="85"/>
  <c r="A46" i="5"/>
  <c r="A46" i="86"/>
  <c r="A46" i="85"/>
  <c r="A54" i="85"/>
  <c r="A56" i="86"/>
  <c r="A41" i="3"/>
  <c r="A33" i="17" s="1"/>
  <c r="A41" i="86"/>
  <c r="A41" i="85"/>
  <c r="G27" i="31"/>
  <c r="G27" i="86"/>
  <c r="A48" i="51"/>
  <c r="A49" i="86"/>
  <c r="A63" i="7"/>
  <c r="A61" i="85"/>
  <c r="A63" i="86"/>
  <c r="A60" i="71"/>
  <c r="A61" i="86"/>
  <c r="A59" i="85"/>
  <c r="A60" i="55"/>
  <c r="A62" i="86"/>
  <c r="A60" i="85"/>
  <c r="L64" i="44"/>
  <c r="L71" i="85"/>
  <c r="A42" i="85"/>
  <c r="A42" i="86"/>
  <c r="G8" i="3"/>
  <c r="G8" i="86"/>
  <c r="G8" i="85"/>
  <c r="A29" i="4"/>
  <c r="A29" i="85"/>
  <c r="A38" i="47"/>
  <c r="A49" i="85"/>
  <c r="G7" i="6"/>
  <c r="G7" i="86"/>
  <c r="G7" i="85"/>
  <c r="A28" i="4"/>
  <c r="A28" i="85"/>
  <c r="A45" i="37"/>
  <c r="A48" i="86"/>
  <c r="A48" i="85"/>
  <c r="B3" i="71"/>
  <c r="B3" i="85"/>
  <c r="B3" i="86"/>
  <c r="C27" i="3"/>
  <c r="C27" i="86"/>
  <c r="A60" i="8"/>
  <c r="A64" i="86"/>
  <c r="A62" i="85"/>
  <c r="C12" i="81"/>
  <c r="C14" i="86"/>
  <c r="C14" i="85"/>
  <c r="A27" i="56"/>
  <c r="A30" i="85"/>
  <c r="L64" i="3"/>
  <c r="L70" i="85"/>
  <c r="D3" i="57"/>
  <c r="E27" i="86"/>
  <c r="B19" i="85"/>
  <c r="B19" i="86"/>
  <c r="A56" i="7"/>
  <c r="A55" i="86"/>
  <c r="A37" i="31"/>
  <c r="A37" i="86"/>
  <c r="A36" i="85"/>
  <c r="A36" i="86"/>
  <c r="A37" i="85"/>
  <c r="A33" i="72"/>
  <c r="A32" i="85"/>
  <c r="A52" i="7"/>
  <c r="A51" i="85"/>
  <c r="I26" i="74"/>
  <c r="I27" i="86"/>
  <c r="I27" i="85"/>
  <c r="L65" i="3"/>
  <c r="A52" i="5"/>
  <c r="A52" i="85"/>
  <c r="A50" i="6"/>
  <c r="A51" i="86"/>
  <c r="A50" i="85"/>
  <c r="A54" i="5"/>
  <c r="A54" i="86"/>
  <c r="A53" i="85"/>
  <c r="D27" i="31"/>
  <c r="D27" i="86"/>
  <c r="A32" i="72"/>
  <c r="A31" i="85"/>
  <c r="A69" i="86"/>
  <c r="A67" i="85"/>
  <c r="I50" i="74"/>
  <c r="I51" i="37"/>
  <c r="I50" i="55"/>
  <c r="I48" i="74"/>
  <c r="I51" i="55"/>
  <c r="I54" i="71"/>
  <c r="I49" i="37"/>
  <c r="I52" i="51"/>
  <c r="I53" i="51"/>
  <c r="A36" i="62"/>
  <c r="A44" i="86"/>
  <c r="A44" i="85"/>
  <c r="A47" i="86"/>
  <c r="A47" i="85"/>
  <c r="C59" i="57"/>
  <c r="D66" i="85"/>
  <c r="D68" i="86"/>
  <c r="A58" i="86"/>
  <c r="A56" i="85"/>
  <c r="A8" i="51"/>
  <c r="A8" i="85"/>
  <c r="F27" i="3"/>
  <c r="F27" i="86"/>
  <c r="E3" i="86"/>
  <c r="E3" i="85"/>
  <c r="A51" i="78"/>
  <c r="A45" i="86"/>
  <c r="A45" i="85"/>
  <c r="A12" i="37"/>
  <c r="A13" i="85"/>
  <c r="A13" i="86"/>
  <c r="A59" i="71"/>
  <c r="A60" i="86"/>
  <c r="A58" i="85"/>
  <c r="D43" i="53"/>
  <c r="D41" i="86"/>
  <c r="D41" i="85"/>
  <c r="C61" i="51"/>
  <c r="C59" i="86"/>
  <c r="C57" i="85"/>
  <c r="F72" i="42"/>
  <c r="G25" i="86"/>
  <c r="G9" i="30"/>
  <c r="G9" i="86"/>
  <c r="G9" i="85"/>
  <c r="C3" i="20"/>
  <c r="C3" i="86"/>
  <c r="C3" i="85"/>
  <c r="G11" i="5"/>
  <c r="G11" i="86"/>
  <c r="G11" i="85"/>
  <c r="A43" i="51"/>
  <c r="A39" i="86"/>
  <c r="A39" i="85"/>
  <c r="L74" i="86"/>
  <c r="L70" i="86"/>
  <c r="I707" i="1"/>
  <c r="L73" i="86"/>
  <c r="I500" i="1"/>
  <c r="L75" i="86"/>
  <c r="I417" i="1"/>
  <c r="C417" i="1"/>
  <c r="L68" i="86"/>
  <c r="L69" i="86"/>
  <c r="C418" i="1"/>
  <c r="I418" i="1"/>
  <c r="U24" i="86"/>
  <c r="M25" i="86" s="1"/>
  <c r="T24" i="86"/>
  <c r="M24" i="86" s="1"/>
  <c r="U30" i="86"/>
  <c r="T30" i="86"/>
  <c r="V26" i="86"/>
  <c r="M26" i="86" s="1"/>
  <c r="T26" i="86"/>
  <c r="V32" i="86"/>
  <c r="T32" i="86"/>
  <c r="N13" i="86"/>
  <c r="N14" i="86" s="1"/>
  <c r="M14" i="86"/>
  <c r="M17" i="86" s="1"/>
  <c r="V27" i="86"/>
  <c r="U27" i="86"/>
  <c r="I709" i="1"/>
  <c r="C709" i="1"/>
  <c r="M27" i="85"/>
  <c r="M29" i="85"/>
  <c r="I708" i="1"/>
  <c r="C708" i="1"/>
  <c r="A27" i="18"/>
  <c r="I383" i="1"/>
  <c r="I385" i="1"/>
  <c r="I384" i="1"/>
  <c r="C385" i="1"/>
  <c r="C384" i="1"/>
  <c r="C383" i="1"/>
  <c r="I306" i="1"/>
  <c r="C306" i="1"/>
  <c r="I308" i="1"/>
  <c r="I307" i="1"/>
  <c r="K69" i="53"/>
  <c r="I412" i="1"/>
  <c r="C412" i="1"/>
  <c r="C308" i="1"/>
  <c r="C307" i="1"/>
  <c r="I409" i="1"/>
  <c r="C409" i="1"/>
  <c r="I449" i="1"/>
  <c r="C449" i="1"/>
  <c r="C731" i="1"/>
  <c r="C735" i="1"/>
  <c r="C249" i="1"/>
  <c r="I247" i="1"/>
  <c r="C732" i="1"/>
  <c r="C736" i="1"/>
  <c r="C250" i="1"/>
  <c r="I248" i="1"/>
  <c r="C733" i="1"/>
  <c r="C730" i="1"/>
  <c r="C247" i="1"/>
  <c r="I249" i="1"/>
  <c r="C734" i="1"/>
  <c r="C248" i="1"/>
  <c r="I250" i="1"/>
  <c r="I234" i="1"/>
  <c r="C234" i="1"/>
  <c r="C236" i="1"/>
  <c r="C237" i="1"/>
  <c r="C235" i="1"/>
  <c r="I237" i="1"/>
  <c r="I236" i="1"/>
  <c r="I235" i="1"/>
  <c r="I666" i="1"/>
  <c r="C666" i="1"/>
  <c r="C665" i="1"/>
  <c r="I665" i="1"/>
  <c r="I714" i="1"/>
  <c r="I731" i="1"/>
  <c r="I735" i="1"/>
  <c r="I730" i="1"/>
  <c r="K58" i="80"/>
  <c r="I732" i="1"/>
  <c r="I736" i="1"/>
  <c r="I733" i="1"/>
  <c r="I734" i="1"/>
  <c r="C500" i="1"/>
  <c r="L69" i="8"/>
  <c r="I461" i="1"/>
  <c r="L68" i="8"/>
  <c r="I565" i="1"/>
  <c r="C565" i="1"/>
  <c r="I566" i="1"/>
  <c r="C566" i="1"/>
  <c r="I546" i="1"/>
  <c r="I556" i="1"/>
  <c r="C556" i="1"/>
  <c r="C546" i="1"/>
  <c r="I557" i="1"/>
  <c r="C547" i="1"/>
  <c r="C557" i="1"/>
  <c r="I547" i="1"/>
  <c r="I518" i="1"/>
  <c r="I527" i="1"/>
  <c r="C518" i="1"/>
  <c r="I536" i="1"/>
  <c r="C536" i="1"/>
  <c r="C527" i="1"/>
  <c r="I528" i="1"/>
  <c r="I519" i="1"/>
  <c r="C519" i="1"/>
  <c r="I537" i="1"/>
  <c r="C537" i="1"/>
  <c r="C528" i="1"/>
  <c r="I509" i="1"/>
  <c r="C509" i="1"/>
  <c r="I508" i="1"/>
  <c r="C508" i="1"/>
  <c r="I499" i="1"/>
  <c r="C499" i="1"/>
  <c r="I488" i="1"/>
  <c r="C480" i="1"/>
  <c r="I480" i="1"/>
  <c r="C488" i="1"/>
  <c r="C487" i="1"/>
  <c r="I487" i="1"/>
  <c r="C479" i="1"/>
  <c r="I479" i="1"/>
  <c r="I470" i="1"/>
  <c r="C470" i="1"/>
  <c r="I469" i="1"/>
  <c r="C469" i="1"/>
  <c r="C713" i="1"/>
  <c r="I460" i="1"/>
  <c r="C460" i="1"/>
  <c r="L69" i="56"/>
  <c r="C459" i="1"/>
  <c r="I459" i="1"/>
  <c r="I570" i="1"/>
  <c r="C570" i="1"/>
  <c r="I560" i="1"/>
  <c r="C560" i="1"/>
  <c r="I551" i="1"/>
  <c r="C551" i="1"/>
  <c r="I541" i="1"/>
  <c r="C541" i="1"/>
  <c r="I531" i="1"/>
  <c r="I521" i="1"/>
  <c r="C531" i="1"/>
  <c r="C521" i="1"/>
  <c r="I511" i="1"/>
  <c r="I501" i="1"/>
  <c r="C511" i="1"/>
  <c r="C501" i="1"/>
  <c r="I490" i="1"/>
  <c r="I481" i="1"/>
  <c r="C490" i="1"/>
  <c r="C481" i="1"/>
  <c r="I471" i="1"/>
  <c r="C471" i="1"/>
  <c r="C714" i="1"/>
  <c r="C461" i="1"/>
  <c r="I171" i="1"/>
  <c r="I170" i="1"/>
  <c r="C174" i="1"/>
  <c r="I172" i="1"/>
  <c r="C171" i="1"/>
  <c r="C170" i="1"/>
  <c r="I173" i="1"/>
  <c r="C172" i="1"/>
  <c r="I174" i="1"/>
  <c r="C173" i="1"/>
  <c r="I86" i="1"/>
  <c r="C85" i="1"/>
  <c r="C84" i="1"/>
  <c r="I85" i="1"/>
  <c r="I84" i="1"/>
  <c r="C88" i="1"/>
  <c r="I87" i="1"/>
  <c r="C86" i="1"/>
  <c r="I88" i="1"/>
  <c r="C87" i="1"/>
  <c r="I223" i="1"/>
  <c r="C224" i="1"/>
  <c r="I224" i="1"/>
  <c r="C221" i="1"/>
  <c r="C220" i="1"/>
  <c r="I221" i="1"/>
  <c r="I220" i="1"/>
  <c r="C222" i="1"/>
  <c r="I222" i="1"/>
  <c r="C223" i="1"/>
  <c r="L70" i="56"/>
  <c r="I367" i="1"/>
  <c r="C367" i="1"/>
  <c r="L68" i="56"/>
  <c r="C729" i="1"/>
  <c r="I727" i="1"/>
  <c r="C727" i="1"/>
  <c r="I726" i="1"/>
  <c r="I728" i="1"/>
  <c r="C726" i="1"/>
  <c r="C728" i="1"/>
  <c r="I729" i="1"/>
  <c r="I294" i="1"/>
  <c r="C294" i="1"/>
  <c r="I357" i="1"/>
  <c r="I353" i="1"/>
  <c r="C357" i="1"/>
  <c r="C353" i="1"/>
  <c r="I406" i="1"/>
  <c r="K62" i="72"/>
  <c r="C406" i="1"/>
  <c r="I346" i="1"/>
  <c r="C346" i="1"/>
  <c r="C407" i="1"/>
  <c r="I407" i="1"/>
  <c r="C398" i="1"/>
  <c r="I398" i="1"/>
  <c r="C397" i="1"/>
  <c r="I397" i="1"/>
  <c r="C343" i="1"/>
  <c r="C339" i="1"/>
  <c r="I341" i="1"/>
  <c r="I345" i="1"/>
  <c r="C344" i="1"/>
  <c r="C340" i="1"/>
  <c r="I340" i="1"/>
  <c r="I344" i="1"/>
  <c r="C342" i="1"/>
  <c r="C338" i="1"/>
  <c r="I342" i="1"/>
  <c r="I338" i="1"/>
  <c r="C345" i="1"/>
  <c r="C341" i="1"/>
  <c r="I339" i="1"/>
  <c r="I343" i="1"/>
  <c r="I293" i="1"/>
  <c r="C293" i="1"/>
  <c r="I292" i="1"/>
  <c r="I291" i="1"/>
  <c r="C292" i="1"/>
  <c r="C291" i="1"/>
  <c r="I290" i="1"/>
  <c r="C290" i="1"/>
  <c r="I289" i="1"/>
  <c r="I288" i="1"/>
  <c r="C289" i="1"/>
  <c r="C288" i="1"/>
  <c r="I596" i="1"/>
  <c r="C596" i="1"/>
  <c r="I595" i="1"/>
  <c r="C595" i="1"/>
  <c r="C710" i="1"/>
  <c r="C711" i="1"/>
  <c r="C712" i="1"/>
  <c r="I166" i="1"/>
  <c r="I165" i="1"/>
  <c r="C169" i="1"/>
  <c r="I167" i="1"/>
  <c r="C166" i="1"/>
  <c r="C165" i="1"/>
  <c r="I168" i="1"/>
  <c r="C167" i="1"/>
  <c r="I169" i="1"/>
  <c r="C168" i="1"/>
  <c r="C78" i="1"/>
  <c r="I161" i="1"/>
  <c r="I160" i="1"/>
  <c r="C164" i="1"/>
  <c r="I162" i="1"/>
  <c r="C161" i="1"/>
  <c r="C160" i="1"/>
  <c r="I163" i="1"/>
  <c r="C162" i="1"/>
  <c r="I164" i="1"/>
  <c r="C163" i="1"/>
  <c r="I80" i="1"/>
  <c r="I79" i="1"/>
  <c r="C83" i="1"/>
  <c r="I81" i="1"/>
  <c r="C80" i="1"/>
  <c r="C79" i="1"/>
  <c r="I82" i="1"/>
  <c r="C81" i="1"/>
  <c r="I83" i="1"/>
  <c r="C82" i="1"/>
  <c r="I75" i="1"/>
  <c r="I74" i="1"/>
  <c r="I76" i="1"/>
  <c r="C75" i="1"/>
  <c r="C74" i="1"/>
  <c r="I77" i="1"/>
  <c r="C76" i="1"/>
  <c r="I78" i="1"/>
  <c r="C77" i="1"/>
  <c r="I219" i="1"/>
  <c r="I218" i="1"/>
  <c r="I217" i="1"/>
  <c r="I216" i="1"/>
  <c r="C219" i="1"/>
  <c r="C218" i="1"/>
  <c r="C217" i="1"/>
  <c r="C216" i="1"/>
  <c r="I215" i="1"/>
  <c r="I214" i="1"/>
  <c r="I213" i="1"/>
  <c r="I212" i="1"/>
  <c r="I211" i="1"/>
  <c r="C215" i="1"/>
  <c r="C214" i="1"/>
  <c r="C213" i="1"/>
  <c r="C212" i="1"/>
  <c r="C211" i="1"/>
  <c r="C722" i="1"/>
  <c r="C725" i="1"/>
  <c r="I724" i="1"/>
  <c r="I723" i="1"/>
  <c r="C724" i="1"/>
  <c r="C723" i="1"/>
  <c r="C716" i="1"/>
  <c r="I715" i="1"/>
  <c r="I719" i="1"/>
  <c r="I721" i="1"/>
  <c r="I716" i="1"/>
  <c r="L76" i="31"/>
  <c r="C718" i="1"/>
  <c r="C720" i="1"/>
  <c r="I722" i="1"/>
  <c r="I725" i="1"/>
  <c r="C717" i="1"/>
  <c r="C715" i="1"/>
  <c r="C719" i="1"/>
  <c r="C721" i="1"/>
  <c r="I718" i="1"/>
  <c r="I720" i="1"/>
  <c r="I717" i="1"/>
  <c r="L75" i="31"/>
  <c r="I689" i="1"/>
  <c r="I688" i="1"/>
  <c r="I682" i="1"/>
  <c r="I686" i="1"/>
  <c r="I692" i="1"/>
  <c r="I681" i="1"/>
  <c r="I685" i="1"/>
  <c r="I690" i="1"/>
  <c r="I679" i="1"/>
  <c r="I683" i="1"/>
  <c r="I678" i="1"/>
  <c r="I691" i="1"/>
  <c r="I680" i="1"/>
  <c r="I684" i="1"/>
  <c r="A63" i="71"/>
  <c r="A50" i="56"/>
  <c r="A48" i="20"/>
  <c r="A50" i="61"/>
  <c r="F9" i="78"/>
  <c r="A32" i="55"/>
  <c r="A50" i="17"/>
  <c r="D34" i="81"/>
  <c r="A50" i="33"/>
  <c r="A45" i="19"/>
  <c r="A36" i="46"/>
  <c r="A62" i="3"/>
  <c r="L71" i="4"/>
  <c r="L62" i="48"/>
  <c r="A62" i="53"/>
  <c r="C11" i="48"/>
  <c r="A50" i="5"/>
  <c r="A36" i="72"/>
  <c r="A8" i="5"/>
  <c r="A50" i="44"/>
  <c r="A47" i="56"/>
  <c r="A45" i="48"/>
  <c r="A43" i="33"/>
  <c r="A37" i="33"/>
  <c r="A8" i="46"/>
  <c r="A8" i="8"/>
  <c r="A8" i="18" s="1"/>
  <c r="A13" i="55"/>
  <c r="A45" i="58"/>
  <c r="A44" i="44"/>
  <c r="A34" i="47"/>
  <c r="A49" i="72"/>
  <c r="A37" i="20"/>
  <c r="A43" i="19"/>
  <c r="A43" i="70"/>
  <c r="A12" i="74"/>
  <c r="A51" i="20"/>
  <c r="A39" i="81"/>
  <c r="A46" i="44"/>
  <c r="A10" i="80"/>
  <c r="A44" i="8"/>
  <c r="A13" i="31"/>
  <c r="A13" i="71"/>
  <c r="A8" i="56"/>
  <c r="A8" i="80"/>
  <c r="A45" i="62"/>
  <c r="A43" i="48"/>
  <c r="A46" i="7"/>
  <c r="A45" i="31"/>
  <c r="A41" i="80"/>
  <c r="A42" i="44"/>
  <c r="A42" i="46"/>
  <c r="A51" i="61"/>
  <c r="A44" i="47"/>
  <c r="A47" i="17"/>
  <c r="A47" i="20"/>
  <c r="A46" i="19"/>
  <c r="A47" i="62"/>
  <c r="A45" i="33"/>
  <c r="A13" i="54"/>
  <c r="A8" i="78"/>
  <c r="A42" i="74"/>
  <c r="A46" i="8"/>
  <c r="A45" i="17"/>
  <c r="A45" i="61"/>
  <c r="A37" i="34"/>
  <c r="A37" i="56"/>
  <c r="A45" i="4"/>
  <c r="A36" i="44"/>
  <c r="A43" i="34"/>
  <c r="A13" i="4"/>
  <c r="K69" i="7"/>
  <c r="C204" i="1"/>
  <c r="A43" i="3"/>
  <c r="A52" i="18"/>
  <c r="B6" i="58"/>
  <c r="A53" i="7"/>
  <c r="K56" i="81"/>
  <c r="C13" i="56"/>
  <c r="A51" i="54"/>
  <c r="A3" i="57"/>
  <c r="A49" i="78"/>
  <c r="A37" i="72"/>
  <c r="A40" i="51"/>
  <c r="L60" i="62"/>
  <c r="I25" i="81"/>
  <c r="A52" i="20"/>
  <c r="A9" i="80"/>
  <c r="C11" i="20"/>
  <c r="L59" i="58"/>
  <c r="A55" i="54"/>
  <c r="A48" i="37"/>
  <c r="A49" i="53"/>
  <c r="A62" i="5"/>
  <c r="A68" i="37"/>
  <c r="A53" i="3"/>
  <c r="I27" i="6"/>
  <c r="A29" i="74"/>
  <c r="A28" i="8"/>
  <c r="A27" i="17" s="1"/>
  <c r="C14" i="4"/>
  <c r="A42" i="70"/>
  <c r="A63" i="54"/>
  <c r="A54" i="81"/>
  <c r="A52" i="74"/>
  <c r="A48" i="81"/>
  <c r="A30" i="4"/>
  <c r="A40" i="56"/>
  <c r="L66" i="8"/>
  <c r="K57" i="81"/>
  <c r="B3" i="33"/>
  <c r="L64" i="18"/>
  <c r="A48" i="31"/>
  <c r="A48" i="5"/>
  <c r="A65" i="51"/>
  <c r="F11" i="51"/>
  <c r="L61" i="62"/>
  <c r="K66" i="55"/>
  <c r="L63" i="34"/>
  <c r="L61" i="61"/>
  <c r="L72" i="4"/>
  <c r="A10" i="3"/>
  <c r="A61" i="71"/>
  <c r="A34" i="44"/>
  <c r="A48" i="71"/>
  <c r="A35" i="20"/>
  <c r="A57" i="56"/>
  <c r="B3" i="80"/>
  <c r="A62" i="54"/>
  <c r="F7" i="80"/>
  <c r="L64" i="70"/>
  <c r="L67" i="30"/>
  <c r="L68" i="71"/>
  <c r="K57" i="80"/>
  <c r="K67" i="78"/>
  <c r="A52" i="72"/>
  <c r="B3" i="20"/>
  <c r="A32" i="47"/>
  <c r="A53" i="53"/>
  <c r="L62" i="19"/>
  <c r="L67" i="5"/>
  <c r="L67" i="6"/>
  <c r="L66" i="56"/>
  <c r="K68" i="54"/>
  <c r="A62" i="31"/>
  <c r="A64" i="51"/>
  <c r="C27" i="4"/>
  <c r="C3" i="8"/>
  <c r="A45" i="46"/>
  <c r="C3" i="47"/>
  <c r="A50" i="18"/>
  <c r="D34" i="80"/>
  <c r="D41" i="31"/>
  <c r="D42" i="72"/>
  <c r="D41" i="54"/>
  <c r="C57" i="6"/>
  <c r="D33" i="56"/>
  <c r="A46" i="81"/>
  <c r="A49" i="44"/>
  <c r="A46" i="80"/>
  <c r="D41" i="71"/>
  <c r="D34" i="8"/>
  <c r="D33" i="62" s="1"/>
  <c r="A50" i="20"/>
  <c r="A50" i="19"/>
  <c r="A43" i="47"/>
  <c r="A48" i="19"/>
  <c r="D41" i="30"/>
  <c r="A39" i="31"/>
  <c r="A38" i="37"/>
  <c r="A34" i="72"/>
  <c r="A48" i="48"/>
  <c r="G27" i="3"/>
  <c r="G27" i="30"/>
  <c r="A47" i="58"/>
  <c r="A47" i="61"/>
  <c r="A44" i="48"/>
  <c r="C14" i="54"/>
  <c r="A47" i="33"/>
  <c r="A48" i="58"/>
  <c r="A8" i="74"/>
  <c r="A56" i="72"/>
  <c r="D38" i="74"/>
  <c r="A13" i="7"/>
  <c r="A63" i="72"/>
  <c r="A8" i="37"/>
  <c r="A8" i="81"/>
  <c r="A42" i="33"/>
  <c r="A11" i="3"/>
  <c r="A37" i="18"/>
  <c r="A59" i="18"/>
  <c r="A61" i="17"/>
  <c r="A32" i="4"/>
  <c r="A53" i="4"/>
  <c r="C3" i="57"/>
  <c r="A45" i="18"/>
  <c r="A45" i="34"/>
  <c r="A55" i="8"/>
  <c r="A45" i="71"/>
  <c r="A53" i="51"/>
  <c r="A51" i="55"/>
  <c r="A37" i="61"/>
  <c r="A51" i="53"/>
  <c r="D41" i="6"/>
  <c r="C14" i="74"/>
  <c r="A36" i="30"/>
  <c r="A43" i="62"/>
  <c r="A43" i="61"/>
  <c r="C58" i="54"/>
  <c r="A43" i="18"/>
  <c r="I24" i="46"/>
  <c r="I24" i="19"/>
  <c r="A10" i="34"/>
  <c r="I24" i="61"/>
  <c r="L63" i="20"/>
  <c r="A32" i="46"/>
  <c r="A41" i="4"/>
  <c r="K60" i="72"/>
  <c r="A49" i="20"/>
  <c r="A38" i="58"/>
  <c r="A52" i="19"/>
  <c r="A50" i="34"/>
  <c r="G28" i="72"/>
  <c r="A33" i="48"/>
  <c r="A41" i="51"/>
  <c r="I27" i="30"/>
  <c r="I24" i="18"/>
  <c r="A50" i="58"/>
  <c r="A59" i="30"/>
  <c r="L63" i="70"/>
  <c r="B3" i="74"/>
  <c r="K67" i="53"/>
  <c r="A35" i="70"/>
  <c r="A39" i="46"/>
  <c r="A51" i="5"/>
  <c r="A40" i="33"/>
  <c r="A56" i="33"/>
  <c r="K56" i="80"/>
  <c r="B3" i="5"/>
  <c r="A27" i="44"/>
  <c r="T7" i="77"/>
  <c r="A54" i="62"/>
  <c r="D41" i="5"/>
  <c r="D43" i="55"/>
  <c r="A38" i="33"/>
  <c r="A41" i="78"/>
  <c r="A51" i="8"/>
  <c r="F10" i="37"/>
  <c r="A39" i="30"/>
  <c r="A26" i="56"/>
  <c r="C27" i="5"/>
  <c r="C27" i="71" s="1"/>
  <c r="A52" i="61"/>
  <c r="I28" i="72"/>
  <c r="C29" i="55"/>
  <c r="L66" i="30"/>
  <c r="L60" i="61"/>
  <c r="L55" i="47"/>
  <c r="B3" i="44"/>
  <c r="A52" i="44"/>
  <c r="A61" i="30"/>
  <c r="C12" i="61"/>
  <c r="A4" i="3"/>
  <c r="E28" i="72"/>
  <c r="A58" i="6"/>
  <c r="L66" i="5"/>
  <c r="A30" i="3"/>
  <c r="A40" i="47"/>
  <c r="A32" i="8"/>
  <c r="A30" i="46" s="1"/>
  <c r="A13" i="51"/>
  <c r="A37" i="70"/>
  <c r="A45" i="30"/>
  <c r="A13" i="6"/>
  <c r="A8" i="47"/>
  <c r="A8" i="53"/>
  <c r="A10" i="70"/>
  <c r="A42" i="34"/>
  <c r="A37" i="19"/>
  <c r="D41" i="7"/>
  <c r="A38" i="8"/>
  <c r="D41" i="4"/>
  <c r="A54" i="6"/>
  <c r="A54" i="55"/>
  <c r="C74" i="42"/>
  <c r="K68" i="53"/>
  <c r="K70" i="51"/>
  <c r="L60" i="58"/>
  <c r="L64" i="33"/>
  <c r="L66" i="3"/>
  <c r="L64" i="20"/>
  <c r="A45" i="70"/>
  <c r="A45" i="20"/>
  <c r="A45" i="6"/>
  <c r="A45" i="3"/>
  <c r="A46" i="37" s="1"/>
  <c r="A37" i="62"/>
  <c r="A35" i="48"/>
  <c r="A46" i="54"/>
  <c r="A45" i="5"/>
  <c r="A42" i="37"/>
  <c r="D45" i="51"/>
  <c r="D43" i="78"/>
  <c r="A54" i="78"/>
  <c r="A37" i="44"/>
  <c r="A35" i="47"/>
  <c r="A61" i="5"/>
  <c r="A46" i="78"/>
  <c r="A43" i="17"/>
  <c r="A43" i="56"/>
  <c r="A41" i="81"/>
  <c r="A12" i="3"/>
  <c r="L65" i="56"/>
  <c r="A43" i="55"/>
  <c r="A61" i="54"/>
  <c r="A34" i="37"/>
  <c r="A62" i="7"/>
  <c r="I25" i="80"/>
  <c r="D38" i="37"/>
  <c r="A50" i="62"/>
  <c r="A58" i="55"/>
  <c r="L64" i="56"/>
  <c r="K68" i="7"/>
  <c r="K67" i="54"/>
  <c r="D74" i="42"/>
  <c r="A38" i="56"/>
  <c r="I27" i="54"/>
  <c r="A36" i="54"/>
  <c r="I34" i="1"/>
  <c r="A52" i="4"/>
  <c r="A52" i="3"/>
  <c r="A9" i="34"/>
  <c r="C3" i="33"/>
  <c r="C13" i="78"/>
  <c r="C11" i="44"/>
  <c r="C13" i="53"/>
  <c r="C11" i="47"/>
  <c r="A49" i="47"/>
  <c r="A55" i="44"/>
  <c r="C13" i="8"/>
  <c r="A51" i="7"/>
  <c r="A63" i="78"/>
  <c r="A51" i="71"/>
  <c r="A47" i="74"/>
  <c r="A50" i="30"/>
  <c r="A42" i="61"/>
  <c r="A39" i="47"/>
  <c r="A41" i="44"/>
  <c r="A28" i="56"/>
  <c r="A55" i="80"/>
  <c r="A58" i="70"/>
  <c r="A59" i="72"/>
  <c r="A58" i="20"/>
  <c r="A62" i="55"/>
  <c r="A64" i="31"/>
  <c r="A59" i="34"/>
  <c r="A26" i="48"/>
  <c r="C14" i="7"/>
  <c r="A39" i="54"/>
  <c r="A39" i="7"/>
  <c r="C27" i="30"/>
  <c r="A34" i="81"/>
  <c r="A39" i="4"/>
  <c r="G25" i="30"/>
  <c r="C57" i="5"/>
  <c r="C59" i="7"/>
  <c r="A37" i="54"/>
  <c r="C54" i="74"/>
  <c r="C59" i="31"/>
  <c r="C29" i="53"/>
  <c r="C24" i="62"/>
  <c r="A43" i="53"/>
  <c r="C24" i="56"/>
  <c r="A34" i="8"/>
  <c r="A33" i="20" s="1"/>
  <c r="C37" i="1"/>
  <c r="C3" i="18"/>
  <c r="C395" i="1"/>
  <c r="C111" i="1"/>
  <c r="A53" i="54"/>
  <c r="A51" i="51"/>
  <c r="C3" i="70"/>
  <c r="C11" i="70"/>
  <c r="C14" i="6"/>
  <c r="C13" i="34"/>
  <c r="C13" i="17"/>
  <c r="A57" i="62"/>
  <c r="A52" i="46"/>
  <c r="A49" i="55"/>
  <c r="C14" i="30"/>
  <c r="A25" i="47"/>
  <c r="A50" i="3"/>
  <c r="A42" i="20"/>
  <c r="A43" i="8"/>
  <c r="A54" i="72"/>
  <c r="A42" i="17"/>
  <c r="A42" i="58"/>
  <c r="A41" i="46"/>
  <c r="A62" i="6"/>
  <c r="A28" i="70"/>
  <c r="A55" i="7"/>
  <c r="A51" i="47"/>
  <c r="A53" i="37"/>
  <c r="A63" i="30"/>
  <c r="A66" i="51"/>
  <c r="A59" i="61"/>
  <c r="A62" i="4"/>
  <c r="A58" i="33"/>
  <c r="A57" i="44"/>
  <c r="A56" i="48"/>
  <c r="A60" i="74"/>
  <c r="F9" i="53"/>
  <c r="A54" i="31"/>
  <c r="A57" i="51"/>
  <c r="A28" i="33"/>
  <c r="A28" i="19"/>
  <c r="C12" i="58"/>
  <c r="A41" i="53"/>
  <c r="A39" i="5"/>
  <c r="C27" i="31"/>
  <c r="A41" i="62"/>
  <c r="A39" i="71"/>
  <c r="A9" i="46"/>
  <c r="C58" i="71"/>
  <c r="C57" i="3"/>
  <c r="A37" i="71"/>
  <c r="C57" i="4"/>
  <c r="A52" i="37"/>
  <c r="A45" i="51"/>
  <c r="A60" i="3"/>
  <c r="C24" i="58"/>
  <c r="C24" i="34"/>
  <c r="A34" i="80"/>
  <c r="C25" i="8"/>
  <c r="C24" i="20" s="1"/>
  <c r="A60" i="5"/>
  <c r="C14" i="5"/>
  <c r="C3" i="6"/>
  <c r="C3" i="72"/>
  <c r="A52" i="6"/>
  <c r="A9" i="81"/>
  <c r="A48" i="55"/>
  <c r="C14" i="3"/>
  <c r="C10" i="33"/>
  <c r="C14" i="71"/>
  <c r="C13" i="46"/>
  <c r="A58" i="8"/>
  <c r="A57" i="17"/>
  <c r="A50" i="4"/>
  <c r="A51" i="31"/>
  <c r="A40" i="48"/>
  <c r="A42" i="18"/>
  <c r="A42" i="19"/>
  <c r="A42" i="56"/>
  <c r="A42" i="62"/>
  <c r="A28" i="18"/>
  <c r="A59" i="19"/>
  <c r="A59" i="56"/>
  <c r="A59" i="62"/>
  <c r="A71" i="77"/>
  <c r="A64" i="7"/>
  <c r="A64" i="53"/>
  <c r="A58" i="58"/>
  <c r="A54" i="46"/>
  <c r="F9" i="37"/>
  <c r="A28" i="34"/>
  <c r="A28" i="20"/>
  <c r="C13" i="19"/>
  <c r="A58" i="78"/>
  <c r="A39" i="6"/>
  <c r="A41" i="5"/>
  <c r="A9" i="8"/>
  <c r="A9" i="62" s="1"/>
  <c r="C57" i="55"/>
  <c r="C55" i="37"/>
  <c r="A41" i="55"/>
  <c r="A50" i="37"/>
  <c r="F7" i="53"/>
  <c r="C24" i="61"/>
  <c r="A41" i="71"/>
  <c r="A59" i="5"/>
  <c r="A60" i="4"/>
  <c r="A37" i="6"/>
  <c r="C30" i="51"/>
  <c r="C25" i="81"/>
  <c r="A9" i="3"/>
  <c r="C58" i="30"/>
  <c r="A30" i="34"/>
  <c r="C3" i="5"/>
  <c r="A34" i="46"/>
  <c r="A35" i="34"/>
  <c r="A35" i="58"/>
  <c r="A40" i="70"/>
  <c r="A40" i="17"/>
  <c r="A40" i="62"/>
  <c r="A41" i="8"/>
  <c r="A53" i="78"/>
  <c r="A35" i="56"/>
  <c r="A48" i="3"/>
  <c r="A49" i="6" s="1"/>
  <c r="A37" i="81"/>
  <c r="B3" i="58"/>
  <c r="B3" i="7"/>
  <c r="F7" i="81"/>
  <c r="A49" i="62"/>
  <c r="A50" i="81"/>
  <c r="A54" i="70"/>
  <c r="A54" i="19"/>
  <c r="A50" i="80"/>
  <c r="A54" i="58"/>
  <c r="A41" i="33"/>
  <c r="A40" i="18"/>
  <c r="A46" i="53"/>
  <c r="A44" i="7"/>
  <c r="A56" i="74"/>
  <c r="A29" i="72"/>
  <c r="A44" i="54"/>
  <c r="A35" i="61"/>
  <c r="G8" i="4"/>
  <c r="A41" i="61"/>
  <c r="B3" i="70"/>
  <c r="B3" i="61"/>
  <c r="A35" i="17"/>
  <c r="A35" i="62"/>
  <c r="A36" i="8"/>
  <c r="A48" i="6"/>
  <c r="A40" i="34"/>
  <c r="A40" i="19"/>
  <c r="A43" i="81"/>
  <c r="A40" i="20"/>
  <c r="B3" i="53"/>
  <c r="B3" i="4"/>
  <c r="F10" i="55"/>
  <c r="A43" i="46"/>
  <c r="A45" i="80"/>
  <c r="A47" i="47"/>
  <c r="A54" i="61"/>
  <c r="A53" i="44"/>
  <c r="A54" i="56"/>
  <c r="B3" i="56"/>
  <c r="A41" i="17"/>
  <c r="A40" i="61"/>
  <c r="A49" i="54"/>
  <c r="A46" i="55"/>
  <c r="A49" i="71"/>
  <c r="A30" i="72"/>
  <c r="F8" i="37"/>
  <c r="F7" i="78"/>
  <c r="F7" i="74"/>
  <c r="A43" i="80"/>
  <c r="B3" i="48"/>
  <c r="A40" i="58"/>
  <c r="A11" i="81"/>
  <c r="A35" i="19"/>
  <c r="A35" i="18"/>
  <c r="A35" i="33"/>
  <c r="A49" i="7"/>
  <c r="A48" i="4"/>
  <c r="A39" i="44"/>
  <c r="A48" i="30"/>
  <c r="A38" i="48"/>
  <c r="A37" i="47"/>
  <c r="A28" i="3"/>
  <c r="B3" i="62"/>
  <c r="B3" i="37"/>
  <c r="B3" i="55"/>
  <c r="B3" i="78"/>
  <c r="F10" i="78"/>
  <c r="A26" i="3"/>
  <c r="A49" i="56"/>
  <c r="A54" i="34"/>
  <c r="A54" i="33"/>
  <c r="A49" i="46"/>
  <c r="B3" i="18"/>
  <c r="B3" i="54"/>
  <c r="A49" i="4"/>
  <c r="A45" i="74"/>
  <c r="A49" i="31"/>
  <c r="A37" i="80"/>
  <c r="B3" i="6"/>
  <c r="B3" i="34"/>
  <c r="A33" i="61"/>
  <c r="A38" i="74"/>
  <c r="B5" i="47"/>
  <c r="A50" i="46"/>
  <c r="A38" i="19"/>
  <c r="A38" i="70"/>
  <c r="A33" i="34"/>
  <c r="A55" i="34"/>
  <c r="A30" i="20"/>
  <c r="A33" i="18"/>
  <c r="A33" i="3"/>
  <c r="A33" i="62"/>
  <c r="G8" i="72"/>
  <c r="A30" i="17"/>
  <c r="A33" i="58"/>
  <c r="A27" i="46"/>
  <c r="C29" i="78"/>
  <c r="A30" i="47"/>
  <c r="C27" i="7"/>
  <c r="C25" i="80"/>
  <c r="A55" i="74"/>
  <c r="A45" i="53"/>
  <c r="A57" i="34"/>
  <c r="A38" i="34"/>
  <c r="A37" i="46"/>
  <c r="A41" i="54"/>
  <c r="A51" i="80"/>
  <c r="G11" i="30"/>
  <c r="A29" i="56"/>
  <c r="A31" i="8"/>
  <c r="A29" i="44" s="1"/>
  <c r="A33" i="19"/>
  <c r="C24" i="46"/>
  <c r="A41" i="7"/>
  <c r="A41" i="30"/>
  <c r="F8" i="78"/>
  <c r="C26" i="37"/>
  <c r="A30" i="56"/>
  <c r="C27" i="54"/>
  <c r="A61" i="53"/>
  <c r="C22" i="47"/>
  <c r="A41" i="31"/>
  <c r="A59" i="53"/>
  <c r="A43" i="78"/>
  <c r="C28" i="72"/>
  <c r="A9" i="44"/>
  <c r="A42" i="72"/>
  <c r="K66" i="74"/>
  <c r="A5" i="74" s="1"/>
  <c r="L63" i="44"/>
  <c r="L70" i="4"/>
  <c r="A58" i="72"/>
  <c r="A11" i="80"/>
  <c r="F8" i="54"/>
  <c r="A29" i="34"/>
  <c r="A29" i="19"/>
  <c r="A29" i="33"/>
  <c r="A28" i="44"/>
  <c r="A27" i="48"/>
  <c r="A29" i="17"/>
  <c r="A26" i="47"/>
  <c r="A58" i="31"/>
  <c r="C3" i="30"/>
  <c r="C3" i="4"/>
  <c r="A51" i="18"/>
  <c r="C3" i="7"/>
  <c r="C3" i="80"/>
  <c r="A51" i="56"/>
  <c r="A45" i="78"/>
  <c r="C3" i="19"/>
  <c r="C3" i="61"/>
  <c r="A51" i="19"/>
  <c r="A56" i="6"/>
  <c r="C62" i="1"/>
  <c r="A10" i="81"/>
  <c r="A46" i="34"/>
  <c r="A45" i="44"/>
  <c r="A46" i="62"/>
  <c r="C3" i="31"/>
  <c r="A49" i="80"/>
  <c r="B10" i="48"/>
  <c r="A44" i="58"/>
  <c r="G9" i="6"/>
  <c r="G9" i="71"/>
  <c r="G9" i="4"/>
  <c r="N24" i="77"/>
  <c r="A32" i="78"/>
  <c r="A10" i="8"/>
  <c r="A10" i="18" s="1"/>
  <c r="G25" i="31"/>
  <c r="G11" i="3"/>
  <c r="G8" i="56" s="1"/>
  <c r="G11" i="6"/>
  <c r="F29" i="53"/>
  <c r="G26" i="72"/>
  <c r="D27" i="30"/>
  <c r="A36" i="80"/>
  <c r="A57" i="53"/>
  <c r="A8" i="4"/>
  <c r="A8" i="71"/>
  <c r="A57" i="54"/>
  <c r="A56" i="3"/>
  <c r="A8" i="55"/>
  <c r="A8" i="6"/>
  <c r="C3" i="3"/>
  <c r="C3" i="17"/>
  <c r="C3" i="46"/>
  <c r="C3" i="71"/>
  <c r="C3" i="62"/>
  <c r="C3" i="48"/>
  <c r="A46" i="58"/>
  <c r="A46" i="56"/>
  <c r="A46" i="61"/>
  <c r="C3" i="44"/>
  <c r="A53" i="61"/>
  <c r="F9" i="74"/>
  <c r="A11" i="58"/>
  <c r="A10" i="44"/>
  <c r="A44" i="34"/>
  <c r="F9" i="7"/>
  <c r="F9" i="51"/>
  <c r="F9" i="54"/>
  <c r="F9" i="55"/>
  <c r="A28" i="81"/>
  <c r="A10" i="56"/>
  <c r="F10" i="74"/>
  <c r="G11" i="71"/>
  <c r="A10" i="20"/>
  <c r="G11" i="4"/>
  <c r="G25" i="3"/>
  <c r="F1" i="57"/>
  <c r="F10" i="7"/>
  <c r="A33" i="51"/>
  <c r="D60" i="56"/>
  <c r="A38" i="81"/>
  <c r="A56" i="78"/>
  <c r="A8" i="7"/>
  <c r="A8" i="30"/>
  <c r="C3" i="81"/>
  <c r="C3" i="54"/>
  <c r="A49" i="48"/>
  <c r="C3" i="53"/>
  <c r="C3" i="58"/>
  <c r="A46" i="46"/>
  <c r="P45" i="77"/>
  <c r="C3" i="55"/>
  <c r="C3" i="78"/>
  <c r="A47" i="8"/>
  <c r="A46" i="17"/>
  <c r="C3" i="56"/>
  <c r="G9" i="31"/>
  <c r="A10" i="33"/>
  <c r="A44" i="61"/>
  <c r="G9" i="72"/>
  <c r="G9" i="3"/>
  <c r="G9" i="5"/>
  <c r="A48" i="78"/>
  <c r="A32" i="53"/>
  <c r="G11" i="72"/>
  <c r="F10" i="54"/>
  <c r="G11" i="31"/>
  <c r="C78" i="57"/>
  <c r="C3" i="34"/>
  <c r="C3" i="74"/>
  <c r="I534" i="1"/>
  <c r="D67" i="30"/>
  <c r="D60" i="62"/>
  <c r="A48" i="46"/>
  <c r="I141" i="1"/>
  <c r="A48" i="53"/>
  <c r="D61" i="74"/>
  <c r="A53" i="17"/>
  <c r="A31" i="4"/>
  <c r="A58" i="7"/>
  <c r="L63" i="18"/>
  <c r="L65" i="8"/>
  <c r="C496" i="1"/>
  <c r="A60" i="6"/>
  <c r="D56" i="81"/>
  <c r="A51" i="58"/>
  <c r="C143" i="1"/>
  <c r="I325" i="1"/>
  <c r="C69" i="1"/>
  <c r="I203" i="1"/>
  <c r="I73" i="1"/>
  <c r="C404" i="1"/>
  <c r="C112" i="1"/>
  <c r="I113" i="1"/>
  <c r="C507" i="1"/>
  <c r="C70" i="1"/>
  <c r="I112" i="1"/>
  <c r="C498" i="1"/>
  <c r="C151" i="1"/>
  <c r="L68" i="17"/>
  <c r="C36" i="1"/>
  <c r="C280" i="1"/>
  <c r="C520" i="1"/>
  <c r="C154" i="1"/>
  <c r="C701" i="1"/>
  <c r="I205" i="1"/>
  <c r="C110" i="1"/>
  <c r="I498" i="1"/>
  <c r="I507" i="1"/>
  <c r="I71" i="1"/>
  <c r="I202" i="1"/>
  <c r="C491" i="1"/>
  <c r="C153" i="1"/>
  <c r="C593" i="1"/>
  <c r="A48" i="74"/>
  <c r="A49" i="37"/>
  <c r="A51" i="17"/>
  <c r="A51" i="33"/>
  <c r="A54" i="30"/>
  <c r="A57" i="30"/>
  <c r="C25" i="1"/>
  <c r="A57" i="71"/>
  <c r="A51" i="70"/>
  <c r="A62" i="71"/>
  <c r="A49" i="34"/>
  <c r="A44" i="56"/>
  <c r="A44" i="17"/>
  <c r="A45" i="8"/>
  <c r="A47" i="48"/>
  <c r="A50" i="8"/>
  <c r="A49" i="18"/>
  <c r="A49" i="17"/>
  <c r="A42" i="47"/>
  <c r="A11" i="37"/>
  <c r="A57" i="61"/>
  <c r="A43" i="7"/>
  <c r="A41" i="56"/>
  <c r="A41" i="19"/>
  <c r="A42" i="8"/>
  <c r="F27" i="31"/>
  <c r="A62" i="30"/>
  <c r="A61" i="4"/>
  <c r="F27" i="7"/>
  <c r="F8" i="53"/>
  <c r="F7" i="7"/>
  <c r="A60" i="30"/>
  <c r="A59" i="55"/>
  <c r="G7" i="57"/>
  <c r="G8" i="6"/>
  <c r="F7" i="51"/>
  <c r="G8" i="5"/>
  <c r="G7" i="5"/>
  <c r="F7" i="37"/>
  <c r="A61" i="31"/>
  <c r="G7" i="31"/>
  <c r="G8" i="71"/>
  <c r="A11" i="62"/>
  <c r="A52" i="8"/>
  <c r="A63" i="31"/>
  <c r="A29" i="37"/>
  <c r="A31" i="72"/>
  <c r="L61" i="19"/>
  <c r="K74" i="37"/>
  <c r="A5" i="37" s="1"/>
  <c r="K66" i="78"/>
  <c r="L63" i="33"/>
  <c r="L62" i="34"/>
  <c r="K69" i="51"/>
  <c r="L58" i="46"/>
  <c r="K65" i="55"/>
  <c r="L67" i="71"/>
  <c r="A50" i="74"/>
  <c r="A51" i="37"/>
  <c r="E27" i="3"/>
  <c r="E27" i="85" s="1"/>
  <c r="E27" i="30"/>
  <c r="E27" i="31"/>
  <c r="A60" i="51"/>
  <c r="A51" i="34"/>
  <c r="A61" i="6"/>
  <c r="A9" i="72"/>
  <c r="E3" i="72"/>
  <c r="A42" i="48"/>
  <c r="A44" i="33"/>
  <c r="A44" i="19"/>
  <c r="A49" i="19"/>
  <c r="A49" i="70"/>
  <c r="A48" i="44"/>
  <c r="A45" i="81"/>
  <c r="A44" i="81"/>
  <c r="A44" i="70"/>
  <c r="A39" i="48"/>
  <c r="A40" i="44"/>
  <c r="A41" i="70"/>
  <c r="F22" i="47"/>
  <c r="G8" i="30"/>
  <c r="G7" i="3"/>
  <c r="A60" i="54"/>
  <c r="A41" i="18"/>
  <c r="F8" i="7"/>
  <c r="D27" i="3"/>
  <c r="F7" i="54"/>
  <c r="F8" i="74"/>
  <c r="A29" i="3"/>
  <c r="G7" i="4"/>
  <c r="A53" i="72"/>
  <c r="A63" i="51"/>
  <c r="G7" i="30"/>
  <c r="A11" i="17"/>
  <c r="N45" i="77"/>
  <c r="G8" i="57"/>
  <c r="A59" i="6"/>
  <c r="A56" i="4"/>
  <c r="A56" i="55"/>
  <c r="A44" i="20"/>
  <c r="A44" i="18"/>
  <c r="A41" i="47"/>
  <c r="A43" i="44"/>
  <c r="A49" i="33"/>
  <c r="A44" i="46"/>
  <c r="A49" i="61"/>
  <c r="A54" i="53"/>
  <c r="A44" i="80"/>
  <c r="A49" i="5"/>
  <c r="A41" i="58"/>
  <c r="A40" i="46"/>
  <c r="A41" i="34"/>
  <c r="A61" i="55"/>
  <c r="F30" i="51"/>
  <c r="A41" i="20"/>
  <c r="A61" i="7"/>
  <c r="F8" i="55"/>
  <c r="G7" i="71"/>
  <c r="F8" i="51"/>
  <c r="A49" i="3"/>
  <c r="F7" i="55"/>
  <c r="D28" i="72"/>
  <c r="A26" i="8"/>
  <c r="A23" i="47" s="1"/>
  <c r="A59" i="4"/>
  <c r="H45" i="77"/>
  <c r="A31" i="3"/>
  <c r="G8" i="31"/>
  <c r="A34" i="3"/>
  <c r="A35" i="72"/>
  <c r="C3" i="37"/>
  <c r="C3" i="51"/>
  <c r="A47" i="80"/>
  <c r="A51" i="62"/>
  <c r="B5" i="72"/>
  <c r="B5" i="3"/>
  <c r="A47" i="78"/>
  <c r="A38" i="80"/>
  <c r="A7" i="8"/>
  <c r="A7" i="56"/>
  <c r="A7" i="47"/>
  <c r="A7" i="46"/>
  <c r="A7" i="80"/>
  <c r="A7" i="81"/>
  <c r="A56" i="70"/>
  <c r="A54" i="48"/>
  <c r="A56" i="20"/>
  <c r="A57" i="19"/>
  <c r="A56" i="58"/>
  <c r="A58" i="5"/>
  <c r="A62" i="51"/>
  <c r="A60" i="31"/>
  <c r="A58" i="4"/>
  <c r="A58" i="3"/>
  <c r="A59" i="54"/>
  <c r="A56" i="37"/>
  <c r="A60" i="7"/>
  <c r="A46" i="48"/>
  <c r="A48" i="17"/>
  <c r="A47" i="44"/>
  <c r="A48" i="70"/>
  <c r="A48" i="61"/>
  <c r="A49" i="8"/>
  <c r="A48" i="34"/>
  <c r="A48" i="62"/>
  <c r="A48" i="18"/>
  <c r="A48" i="33"/>
  <c r="I28" i="1"/>
  <c r="C101" i="1"/>
  <c r="B3" i="8"/>
  <c r="B3" i="17"/>
  <c r="B3" i="19"/>
  <c r="B3" i="47"/>
  <c r="B3" i="51"/>
  <c r="B3" i="81"/>
  <c r="B3" i="31"/>
  <c r="B3" i="72"/>
  <c r="B3" i="30"/>
  <c r="B3" i="3"/>
  <c r="B3" i="46"/>
  <c r="A35" i="3"/>
  <c r="A55" i="71"/>
  <c r="A47" i="34"/>
  <c r="A48" i="8"/>
  <c r="A47" i="19"/>
  <c r="C13" i="18"/>
  <c r="C12" i="62"/>
  <c r="C14" i="31"/>
  <c r="C14" i="37"/>
  <c r="C14" i="51"/>
  <c r="C14" i="55"/>
  <c r="A49" i="51"/>
  <c r="A47" i="55"/>
  <c r="A38" i="3"/>
  <c r="A38" i="72"/>
  <c r="A52" i="33"/>
  <c r="A52" i="56"/>
  <c r="I143" i="1"/>
  <c r="C26" i="1"/>
  <c r="C326" i="1"/>
  <c r="C59" i="1"/>
  <c r="C24" i="1"/>
  <c r="I476" i="1"/>
  <c r="I393" i="1"/>
  <c r="I27" i="1"/>
  <c r="I505" i="1"/>
  <c r="E74" i="42"/>
  <c r="A51" i="6"/>
  <c r="F29" i="78"/>
  <c r="B5" i="61"/>
  <c r="A51" i="3"/>
  <c r="A45" i="47"/>
  <c r="A38" i="53"/>
  <c r="E3" i="57"/>
  <c r="F24" i="58"/>
  <c r="F27" i="5"/>
  <c r="F24" i="56"/>
  <c r="F24" i="61"/>
  <c r="I24" i="62"/>
  <c r="I24" i="20"/>
  <c r="I24" i="56"/>
  <c r="I24" i="17"/>
  <c r="A39" i="53"/>
  <c r="A36" i="7"/>
  <c r="I26" i="37"/>
  <c r="I25" i="8"/>
  <c r="I22" i="47"/>
  <c r="A37" i="5"/>
  <c r="I23" i="44"/>
  <c r="I29" i="55"/>
  <c r="A39" i="78"/>
  <c r="D66" i="6"/>
  <c r="D69" i="51"/>
  <c r="D59" i="58"/>
  <c r="D66" i="4"/>
  <c r="D67" i="54"/>
  <c r="D56" i="80"/>
  <c r="D68" i="31"/>
  <c r="D69" i="37"/>
  <c r="D65" i="55"/>
  <c r="D67" i="71"/>
  <c r="D62" i="72"/>
  <c r="D66" i="78"/>
  <c r="D66" i="3"/>
  <c r="C81" i="42"/>
  <c r="D68" i="7"/>
  <c r="D61" i="8"/>
  <c r="D67" i="53"/>
  <c r="D60" i="61"/>
  <c r="D66" i="5"/>
  <c r="A53" i="33"/>
  <c r="A53" i="19"/>
  <c r="A49" i="81"/>
  <c r="A46" i="47"/>
  <c r="A53" i="18"/>
  <c r="A53" i="70"/>
  <c r="A53" i="62"/>
  <c r="A53" i="34"/>
  <c r="A53" i="20"/>
  <c r="A53" i="58"/>
  <c r="A51" i="48"/>
  <c r="A53" i="56"/>
  <c r="A46" i="33"/>
  <c r="A46" i="18"/>
  <c r="A52" i="17"/>
  <c r="A52" i="34"/>
  <c r="C63" i="1"/>
  <c r="C549" i="1"/>
  <c r="C466" i="1"/>
  <c r="I61" i="1"/>
  <c r="C486" i="1"/>
  <c r="C516" i="1"/>
  <c r="I194" i="1"/>
  <c r="C27" i="1"/>
  <c r="F25" i="80"/>
  <c r="A32" i="3"/>
  <c r="A51" i="4"/>
  <c r="A34" i="74"/>
  <c r="A7" i="72"/>
  <c r="F25" i="8"/>
  <c r="F24" i="33" s="1"/>
  <c r="F24" i="62"/>
  <c r="F29" i="55"/>
  <c r="F26" i="37"/>
  <c r="F24" i="46"/>
  <c r="I22" i="48"/>
  <c r="I27" i="71"/>
  <c r="I24" i="33"/>
  <c r="I27" i="31"/>
  <c r="A37" i="4"/>
  <c r="A36" i="31"/>
  <c r="A38" i="78"/>
  <c r="I24" i="70"/>
  <c r="I24" i="58"/>
  <c r="I27" i="7"/>
  <c r="A36" i="71"/>
  <c r="I27" i="3"/>
  <c r="I29" i="78"/>
  <c r="A33" i="56"/>
  <c r="A41" i="6"/>
  <c r="A53" i="8"/>
  <c r="A52" i="62"/>
  <c r="A52" i="70"/>
  <c r="A52" i="58"/>
  <c r="A50" i="48"/>
  <c r="C575" i="1"/>
  <c r="I24" i="1"/>
  <c r="C195" i="1"/>
  <c r="I326" i="1"/>
  <c r="I25" i="1"/>
  <c r="C28" i="1"/>
  <c r="C534" i="1"/>
  <c r="I140" i="1"/>
  <c r="I516" i="1"/>
  <c r="B6" i="80"/>
  <c r="A52" i="54"/>
  <c r="F27" i="30"/>
  <c r="F25" i="81"/>
  <c r="A47" i="46"/>
  <c r="A36" i="4"/>
  <c r="D3" i="3"/>
  <c r="F24" i="34"/>
  <c r="F27" i="4"/>
  <c r="F27" i="54"/>
  <c r="I29" i="53"/>
  <c r="A37" i="30"/>
  <c r="F28" i="72"/>
  <c r="I30" i="51"/>
  <c r="A36" i="6"/>
  <c r="A36" i="5"/>
  <c r="I27" i="4"/>
  <c r="I24" i="34"/>
  <c r="F15" i="77"/>
  <c r="A48" i="80"/>
  <c r="A39" i="55"/>
  <c r="I27" i="5"/>
  <c r="A38" i="55"/>
  <c r="A9" i="47"/>
  <c r="A11" i="18"/>
  <c r="A11" i="56"/>
  <c r="A11" i="19"/>
  <c r="A9" i="48"/>
  <c r="A11" i="61"/>
  <c r="A9" i="70"/>
  <c r="A9" i="33"/>
  <c r="A11" i="34"/>
  <c r="A11" i="8"/>
  <c r="A9" i="20"/>
  <c r="C142" i="1"/>
  <c r="I699" i="1"/>
  <c r="A7" i="51"/>
  <c r="A7" i="30"/>
  <c r="A7" i="6"/>
  <c r="A7" i="58"/>
  <c r="A7" i="5"/>
  <c r="A7" i="53"/>
  <c r="A7" i="74"/>
  <c r="A7" i="54"/>
  <c r="A7" i="71"/>
  <c r="A7" i="37"/>
  <c r="I491" i="1"/>
  <c r="C35" i="1"/>
  <c r="I152" i="1"/>
  <c r="C577" i="1"/>
  <c r="I281" i="1"/>
  <c r="I552" i="1"/>
  <c r="C34" i="1"/>
  <c r="C73" i="1"/>
  <c r="I154" i="1"/>
  <c r="C203" i="1"/>
  <c r="C552" i="1"/>
  <c r="I538" i="1"/>
  <c r="I701" i="1"/>
  <c r="I35" i="1"/>
  <c r="I150" i="1"/>
  <c r="I110" i="1"/>
  <c r="C332" i="1"/>
  <c r="C282" i="1"/>
  <c r="C538" i="1"/>
  <c r="C707" i="1"/>
  <c r="I37" i="1"/>
  <c r="I153" i="1"/>
  <c r="I478" i="1"/>
  <c r="I330" i="1"/>
  <c r="C478" i="1"/>
  <c r="I36" i="1"/>
  <c r="I111" i="1"/>
  <c r="C330" i="1"/>
  <c r="C113" i="1"/>
  <c r="C150" i="1"/>
  <c r="C561" i="1"/>
  <c r="C38" i="1"/>
  <c r="I72" i="1"/>
  <c r="I38" i="1"/>
  <c r="C152" i="1"/>
  <c r="C331" i="1"/>
  <c r="C71" i="1"/>
  <c r="I201" i="1"/>
  <c r="I529" i="1"/>
  <c r="I70" i="1"/>
  <c r="I577" i="1"/>
  <c r="I282" i="1"/>
  <c r="C529" i="1"/>
  <c r="A43" i="74"/>
  <c r="A38" i="18"/>
  <c r="A50" i="72"/>
  <c r="A46" i="71"/>
  <c r="A47" i="54"/>
  <c r="A46" i="31"/>
  <c r="A38" i="62"/>
  <c r="A47" i="7"/>
  <c r="A36" i="48"/>
  <c r="A46" i="30"/>
  <c r="A38" i="61"/>
  <c r="A43" i="37"/>
  <c r="A46" i="6"/>
  <c r="A55" i="18"/>
  <c r="A51" i="81"/>
  <c r="A55" i="61"/>
  <c r="A55" i="62"/>
  <c r="A55" i="17"/>
  <c r="A55" i="19"/>
  <c r="A26" i="18"/>
  <c r="A26" i="20"/>
  <c r="A7" i="7"/>
  <c r="C114" i="1"/>
  <c r="I204" i="1"/>
  <c r="I404" i="1"/>
  <c r="C72" i="1"/>
  <c r="I520" i="1"/>
  <c r="C281" i="1"/>
  <c r="I151" i="1"/>
  <c r="L73" i="31"/>
  <c r="I395" i="1"/>
  <c r="I69" i="1"/>
  <c r="A7" i="78"/>
  <c r="A46" i="4"/>
  <c r="A38" i="20"/>
  <c r="A46" i="3"/>
  <c r="A56" i="8"/>
  <c r="A26" i="19"/>
  <c r="I193" i="1"/>
  <c r="I26" i="1"/>
  <c r="I486" i="1"/>
  <c r="C193" i="1"/>
  <c r="I142" i="1"/>
  <c r="I100" i="1"/>
  <c r="C100" i="1"/>
  <c r="I705" i="1"/>
  <c r="C505" i="1"/>
  <c r="C402" i="1"/>
  <c r="I102" i="1"/>
  <c r="C705" i="1"/>
  <c r="I549" i="1"/>
  <c r="A55" i="72"/>
  <c r="A55" i="31"/>
  <c r="A56" i="19"/>
  <c r="A52" i="80"/>
  <c r="A56" i="62"/>
  <c r="A56" i="34"/>
  <c r="A55" i="70"/>
  <c r="A57" i="8"/>
  <c r="A54" i="54"/>
  <c r="A56" i="31"/>
  <c r="A52" i="81"/>
  <c r="A53" i="5"/>
  <c r="A55" i="58"/>
  <c r="A53" i="48"/>
  <c r="A55" i="20"/>
  <c r="A56" i="18"/>
  <c r="A53" i="6"/>
  <c r="A54" i="4"/>
  <c r="A55" i="33"/>
  <c r="A51" i="46"/>
  <c r="A54" i="44"/>
  <c r="A56" i="56"/>
  <c r="A56" i="17"/>
  <c r="A54" i="71"/>
  <c r="A54" i="3"/>
  <c r="A56" i="61"/>
  <c r="A48" i="47"/>
  <c r="A54" i="7"/>
  <c r="A41" i="74"/>
  <c r="A41" i="37"/>
  <c r="A50" i="53"/>
  <c r="A35" i="46"/>
  <c r="A35" i="44"/>
  <c r="A36" i="19"/>
  <c r="A37" i="8"/>
  <c r="A50" i="55"/>
  <c r="A44" i="6"/>
  <c r="A34" i="48"/>
  <c r="A36" i="17"/>
  <c r="A45" i="54"/>
  <c r="A44" i="5"/>
  <c r="A50" i="78"/>
  <c r="A40" i="80"/>
  <c r="A48" i="72"/>
  <c r="A36" i="33"/>
  <c r="A36" i="18"/>
  <c r="A45" i="7"/>
  <c r="A44" i="30"/>
  <c r="A36" i="58"/>
  <c r="A33" i="47"/>
  <c r="A36" i="70"/>
  <c r="A36" i="56"/>
  <c r="A44" i="71"/>
  <c r="A44" i="4"/>
  <c r="A40" i="81"/>
  <c r="A36" i="61"/>
  <c r="A36" i="34"/>
  <c r="A36" i="20"/>
  <c r="A52" i="51"/>
  <c r="A44" i="31"/>
  <c r="A44" i="3"/>
  <c r="A42" i="81"/>
  <c r="A39" i="58"/>
  <c r="A36" i="47"/>
  <c r="A39" i="33"/>
  <c r="A40" i="8"/>
  <c r="A48" i="54"/>
  <c r="A47" i="31"/>
  <c r="A47" i="3"/>
  <c r="A44" i="74"/>
  <c r="A37" i="48"/>
  <c r="A39" i="19"/>
  <c r="A48" i="7"/>
  <c r="A47" i="30"/>
  <c r="A44" i="37"/>
  <c r="A52" i="53"/>
  <c r="A51" i="72"/>
  <c r="A38" i="44"/>
  <c r="A39" i="17"/>
  <c r="A47" i="71"/>
  <c r="A47" i="4"/>
  <c r="A52" i="78"/>
  <c r="A39" i="61"/>
  <c r="A38" i="46"/>
  <c r="A39" i="70"/>
  <c r="A39" i="18"/>
  <c r="A47" i="6"/>
  <c r="A39" i="56"/>
  <c r="A42" i="80"/>
  <c r="A39" i="62"/>
  <c r="A39" i="34"/>
  <c r="A39" i="20"/>
  <c r="A47" i="5"/>
  <c r="A39" i="8"/>
  <c r="A38" i="17"/>
  <c r="A26" i="17"/>
  <c r="A26" i="46"/>
  <c r="A26" i="34"/>
  <c r="A26" i="70"/>
  <c r="A25" i="44"/>
  <c r="A24" i="48"/>
  <c r="A26" i="33"/>
  <c r="A56" i="80"/>
  <c r="A60" i="56"/>
  <c r="A64" i="78"/>
  <c r="A67" i="51"/>
  <c r="A57" i="48"/>
  <c r="A60" i="62"/>
  <c r="A63" i="55"/>
  <c r="A59" i="58"/>
  <c r="A52" i="47"/>
  <c r="A64" i="54"/>
  <c r="A60" i="61"/>
  <c r="A63" i="5"/>
  <c r="A61" i="8"/>
  <c r="A60" i="34"/>
  <c r="A63" i="6"/>
  <c r="A59" i="20"/>
  <c r="A65" i="31"/>
  <c r="A64" i="30"/>
  <c r="A59" i="70"/>
  <c r="A65" i="7"/>
  <c r="A60" i="72"/>
  <c r="A60" i="19"/>
  <c r="A60" i="18"/>
  <c r="A63" i="3"/>
  <c r="A55" i="46"/>
  <c r="A63" i="4"/>
  <c r="A59" i="33"/>
  <c r="A55" i="81"/>
  <c r="A58" i="44"/>
  <c r="A64" i="71"/>
  <c r="A62" i="17"/>
  <c r="A65" i="53"/>
  <c r="A7" i="55"/>
  <c r="A7" i="4"/>
  <c r="B5" i="55"/>
  <c r="B5" i="46"/>
  <c r="B5" i="7"/>
  <c r="B5" i="54"/>
  <c r="B5" i="58"/>
  <c r="B5" i="80"/>
  <c r="B5" i="51"/>
  <c r="B5" i="78"/>
  <c r="B5" i="53"/>
  <c r="B5" i="81"/>
  <c r="A29" i="20"/>
  <c r="A29" i="18"/>
  <c r="A29" i="70"/>
  <c r="A28" i="46"/>
  <c r="C586" i="1"/>
  <c r="C128" i="1"/>
  <c r="I127" i="1"/>
  <c r="C40" i="1"/>
  <c r="C39" i="1"/>
  <c r="C94" i="1"/>
  <c r="C91" i="1"/>
  <c r="I94" i="1"/>
  <c r="C92" i="1"/>
  <c r="I5" i="1"/>
  <c r="C695" i="1"/>
  <c r="I439" i="1"/>
  <c r="C452" i="1"/>
  <c r="C601" i="1"/>
  <c r="C702" i="1"/>
  <c r="C129" i="1"/>
  <c r="I129" i="1"/>
  <c r="I42" i="1"/>
  <c r="C42" i="1"/>
  <c r="I39" i="1"/>
  <c r="I93" i="1"/>
  <c r="C5" i="1"/>
  <c r="C7" i="1"/>
  <c r="I91" i="1"/>
  <c r="C93" i="1"/>
  <c r="I695" i="1"/>
  <c r="C271" i="1"/>
  <c r="I298" i="1"/>
  <c r="I646" i="1"/>
  <c r="I657" i="1"/>
  <c r="I229" i="1"/>
  <c r="C503" i="1"/>
  <c r="I661" i="1"/>
  <c r="I580" i="1"/>
  <c r="I639" i="1"/>
  <c r="C659" i="1"/>
  <c r="I653" i="1"/>
  <c r="C355" i="1"/>
  <c r="I431" i="1"/>
  <c r="C483" i="1"/>
  <c r="I380" i="1"/>
  <c r="I428" i="1"/>
  <c r="I473" i="1"/>
  <c r="C381" i="1"/>
  <c r="I321" i="1"/>
  <c r="C658" i="1"/>
  <c r="C653" i="1"/>
  <c r="C545" i="1"/>
  <c r="I644" i="1"/>
  <c r="C262" i="1"/>
  <c r="C591" i="1"/>
  <c r="I637" i="1"/>
  <c r="C680" i="1"/>
  <c r="C629" i="1"/>
  <c r="I415" i="1"/>
  <c r="I128" i="1"/>
  <c r="I40" i="1"/>
  <c r="C90" i="1"/>
  <c r="C6" i="1"/>
  <c r="I702" i="1"/>
  <c r="I452" i="1"/>
  <c r="C688" i="1"/>
  <c r="C643" i="1"/>
  <c r="I434" i="1"/>
  <c r="I297" i="1"/>
  <c r="I625" i="1"/>
  <c r="C304" i="1"/>
  <c r="I656" i="1"/>
  <c r="I351" i="1"/>
  <c r="I177" i="1"/>
  <c r="C242" i="1"/>
  <c r="I652" i="1"/>
  <c r="C579" i="1"/>
  <c r="I619" i="1"/>
  <c r="I649" i="1"/>
  <c r="C257" i="1"/>
  <c r="I315" i="1"/>
  <c r="C682" i="1"/>
  <c r="C641" i="1"/>
  <c r="C654" i="1"/>
  <c r="I636" i="1"/>
  <c r="C644" i="1"/>
  <c r="C650" i="1"/>
  <c r="C664" i="1"/>
  <c r="C582" i="1"/>
  <c r="I246" i="1"/>
  <c r="I228" i="1"/>
  <c r="C645" i="1"/>
  <c r="C656" i="1"/>
  <c r="C448" i="1"/>
  <c r="L68" i="31"/>
  <c r="I640" i="1"/>
  <c r="I448" i="1"/>
  <c r="C246" i="1"/>
  <c r="C567" i="1"/>
  <c r="I375" i="1"/>
  <c r="C635" i="1"/>
  <c r="I365" i="1"/>
  <c r="C647" i="1"/>
  <c r="C473" i="1"/>
  <c r="I616" i="1"/>
  <c r="C673" i="1"/>
  <c r="B31" i="61" s="1"/>
  <c r="I31" i="61" s="1"/>
  <c r="C618" i="1"/>
  <c r="C399" i="1"/>
  <c r="C180" i="1"/>
  <c r="C382" i="1"/>
  <c r="I227" i="1"/>
  <c r="C411" i="1"/>
  <c r="I615" i="1"/>
  <c r="C652" i="1"/>
  <c r="C126" i="1"/>
  <c r="C41" i="1"/>
  <c r="C43" i="1"/>
  <c r="C4" i="1"/>
  <c r="I90" i="1"/>
  <c r="I411" i="1"/>
  <c r="C689" i="1"/>
  <c r="I567" i="1"/>
  <c r="I503" i="1"/>
  <c r="I659" i="1"/>
  <c r="C365" i="1"/>
  <c r="C609" i="1"/>
  <c r="I579" i="1"/>
  <c r="C380" i="1"/>
  <c r="I399" i="1"/>
  <c r="I629" i="1"/>
  <c r="C303" i="1"/>
  <c r="C675" i="1"/>
  <c r="I245" i="1"/>
  <c r="I336" i="1"/>
  <c r="I617" i="1"/>
  <c r="I609" i="1"/>
  <c r="L64" i="17"/>
  <c r="I628" i="1"/>
  <c r="C608" i="1"/>
  <c r="I650" i="1"/>
  <c r="C455" i="1"/>
  <c r="I226" i="1"/>
  <c r="C297" i="1"/>
  <c r="I687" i="1"/>
  <c r="C616" i="1"/>
  <c r="C626" i="1"/>
  <c r="C679" i="1"/>
  <c r="C625" i="1"/>
  <c r="C434" i="1"/>
  <c r="C298" i="1"/>
  <c r="I664" i="1"/>
  <c r="I408" i="1"/>
  <c r="C648" i="1"/>
  <c r="C657" i="1"/>
  <c r="I635" i="1"/>
  <c r="C431" i="1"/>
  <c r="I591" i="1"/>
  <c r="I655" i="1"/>
  <c r="C463" i="1"/>
  <c r="I677" i="1"/>
  <c r="C243" i="1"/>
  <c r="I262" i="1"/>
  <c r="I424" i="1"/>
  <c r="I626" i="1"/>
  <c r="C662" i="1"/>
  <c r="C604" i="1"/>
  <c r="I647" i="1"/>
  <c r="I515" i="1"/>
  <c r="I638" i="1"/>
  <c r="I675" i="1"/>
  <c r="C606" i="1"/>
  <c r="C315" i="1"/>
  <c r="C305" i="1"/>
  <c r="I244" i="1"/>
  <c r="I545" i="1"/>
  <c r="I43" i="1"/>
  <c r="I8" i="1"/>
  <c r="I437" i="1"/>
  <c r="I271" i="1"/>
  <c r="C373" i="1"/>
  <c r="I445" i="1"/>
  <c r="I381" i="1"/>
  <c r="C685" i="1"/>
  <c r="I296" i="1"/>
  <c r="C374" i="1"/>
  <c r="C619" i="1"/>
  <c r="I642" i="1"/>
  <c r="I421" i="1"/>
  <c r="I658" i="1"/>
  <c r="C574" i="1"/>
  <c r="I180" i="1"/>
  <c r="I390" i="1"/>
  <c r="C530" i="1"/>
  <c r="C649" i="1"/>
  <c r="C228" i="1"/>
  <c r="I359" i="1"/>
  <c r="I303" i="1"/>
  <c r="C540" i="1"/>
  <c r="C683" i="1"/>
  <c r="C424" i="1"/>
  <c r="I374" i="1"/>
  <c r="C493" i="1"/>
  <c r="C684" i="1"/>
  <c r="I641" i="1"/>
  <c r="I540" i="1"/>
  <c r="I654" i="1"/>
  <c r="C617" i="1"/>
  <c r="I268" i="1"/>
  <c r="C244" i="1"/>
  <c r="C230" i="1"/>
  <c r="C226" i="1"/>
  <c r="I230" i="1"/>
  <c r="I125" i="1"/>
  <c r="I6" i="1"/>
  <c r="C321" i="1"/>
  <c r="I618" i="1"/>
  <c r="I463" i="1"/>
  <c r="C179" i="1"/>
  <c r="I373" i="1"/>
  <c r="C678" i="1"/>
  <c r="C580" i="1"/>
  <c r="C415" i="1"/>
  <c r="C318" i="1"/>
  <c r="C605" i="1"/>
  <c r="C439" i="1"/>
  <c r="I304" i="1"/>
  <c r="I627" i="1"/>
  <c r="I361" i="1"/>
  <c r="C176" i="1"/>
  <c r="I41" i="1"/>
  <c r="I92" i="1"/>
  <c r="I305" i="1"/>
  <c r="I363" i="1"/>
  <c r="I483" i="1"/>
  <c r="C442" i="1"/>
  <c r="I318" i="1"/>
  <c r="C651" i="1"/>
  <c r="C177" i="1"/>
  <c r="C677" i="1"/>
  <c r="C555" i="1"/>
  <c r="I530" i="1"/>
  <c r="C642" i="1"/>
  <c r="I242" i="1"/>
  <c r="C669" i="1"/>
  <c r="I605" i="1"/>
  <c r="C607" i="1"/>
  <c r="C336" i="1"/>
  <c r="I582" i="1"/>
  <c r="I651" i="1"/>
  <c r="I643" i="1"/>
  <c r="I179" i="1"/>
  <c r="I382" i="1"/>
  <c r="I676" i="1"/>
  <c r="C639" i="1"/>
  <c r="I555" i="1"/>
  <c r="C655" i="1"/>
  <c r="I606" i="1"/>
  <c r="C671" i="1"/>
  <c r="B31" i="62" s="1"/>
  <c r="I31" i="62" s="1"/>
  <c r="C428" i="1"/>
  <c r="C375" i="1"/>
  <c r="C227" i="1"/>
  <c r="I286" i="1"/>
  <c r="C265" i="1"/>
  <c r="I662" i="1"/>
  <c r="C229" i="1"/>
  <c r="I7" i="1"/>
  <c r="C370" i="1"/>
  <c r="C687" i="1"/>
  <c r="I455" i="1"/>
  <c r="C686" i="1"/>
  <c r="C515" i="1"/>
  <c r="I584" i="1"/>
  <c r="I355" i="1"/>
  <c r="C661" i="1"/>
  <c r="I442" i="1"/>
  <c r="I574" i="1"/>
  <c r="C437" i="1"/>
  <c r="C676" i="1"/>
  <c r="B30" i="46" s="1"/>
  <c r="I30" i="46" s="1"/>
  <c r="C445" i="1"/>
  <c r="I645" i="1"/>
  <c r="C628" i="1"/>
  <c r="C296" i="1"/>
  <c r="I257" i="1"/>
  <c r="C178" i="1"/>
  <c r="C127" i="1"/>
  <c r="C8" i="1"/>
  <c r="I4" i="1"/>
  <c r="I601" i="1"/>
  <c r="I671" i="1"/>
  <c r="C637" i="1"/>
  <c r="I604" i="1"/>
  <c r="I243" i="1"/>
  <c r="C268" i="1"/>
  <c r="I648" i="1"/>
  <c r="I673" i="1"/>
  <c r="C408" i="1"/>
  <c r="I608" i="1"/>
  <c r="C286" i="1"/>
  <c r="I669" i="1"/>
  <c r="C584" i="1"/>
  <c r="I493" i="1"/>
  <c r="I370" i="1"/>
  <c r="I607" i="1"/>
  <c r="C681" i="1"/>
  <c r="C640" i="1"/>
  <c r="C636" i="1"/>
  <c r="C245" i="1"/>
  <c r="C363" i="1"/>
  <c r="C646" i="1"/>
  <c r="C615" i="1"/>
  <c r="C421" i="1"/>
  <c r="C627" i="1"/>
  <c r="C638" i="1"/>
  <c r="C390" i="1"/>
  <c r="C351" i="1"/>
  <c r="I265" i="1"/>
  <c r="I176" i="1"/>
  <c r="I178" i="1"/>
  <c r="I126" i="1"/>
  <c r="C125" i="1"/>
  <c r="I586" i="1"/>
  <c r="E3" i="81"/>
  <c r="E3" i="78"/>
  <c r="E3" i="80"/>
  <c r="E3" i="7"/>
  <c r="E3" i="74"/>
  <c r="E3" i="47"/>
  <c r="E3" i="58"/>
  <c r="E3" i="54"/>
  <c r="E3" i="71"/>
  <c r="E3" i="51"/>
  <c r="E3" i="8"/>
  <c r="E3" i="37"/>
  <c r="E3" i="6"/>
  <c r="E3" i="56"/>
  <c r="E3" i="62"/>
  <c r="E3" i="4"/>
  <c r="E3" i="31"/>
  <c r="E3" i="30"/>
  <c r="E3" i="5"/>
  <c r="E3" i="53"/>
  <c r="E3" i="46"/>
  <c r="E3" i="55"/>
  <c r="E3" i="34"/>
  <c r="E3" i="61"/>
  <c r="D30" i="47"/>
  <c r="A57" i="80"/>
  <c r="A53" i="47"/>
  <c r="A67" i="78"/>
  <c r="A61" i="18"/>
  <c r="A66" i="55"/>
  <c r="A63" i="17"/>
  <c r="A67" i="6"/>
  <c r="A70" i="51"/>
  <c r="A61" i="62"/>
  <c r="A69" i="7"/>
  <c r="A57" i="81"/>
  <c r="A60" i="20"/>
  <c r="A68" i="54"/>
  <c r="A61" i="19"/>
  <c r="A56" i="46"/>
  <c r="A68" i="71"/>
  <c r="A60" i="58"/>
  <c r="A67" i="5"/>
  <c r="A62" i="74"/>
  <c r="A62" i="8"/>
  <c r="A69" i="31"/>
  <c r="A68" i="30"/>
  <c r="A59" i="44"/>
  <c r="A68" i="53"/>
  <c r="A70" i="37"/>
  <c r="A61" i="56"/>
  <c r="A61" i="61"/>
  <c r="A67" i="4"/>
  <c r="A61" i="34"/>
  <c r="A60" i="33"/>
  <c r="A58" i="48"/>
  <c r="A60" i="70"/>
  <c r="C141" i="1"/>
  <c r="I59" i="1"/>
  <c r="C102" i="1"/>
  <c r="L66" i="17"/>
  <c r="I191" i="1"/>
  <c r="C276" i="1"/>
  <c r="I60" i="1"/>
  <c r="I103" i="1"/>
  <c r="C476" i="1"/>
  <c r="C699" i="1"/>
  <c r="C525" i="1"/>
  <c r="C274" i="1"/>
  <c r="C140" i="1"/>
  <c r="C61" i="1"/>
  <c r="C103" i="1"/>
  <c r="I548" i="1"/>
  <c r="I492" i="1"/>
  <c r="C19" i="1"/>
  <c r="I20" i="1"/>
  <c r="I21" i="1"/>
  <c r="I116" i="1"/>
  <c r="I118" i="1"/>
  <c r="I159" i="1"/>
  <c r="C159" i="1"/>
  <c r="I158" i="1"/>
  <c r="C492" i="1"/>
  <c r="I23" i="1"/>
  <c r="I19" i="1"/>
  <c r="I119" i="1"/>
  <c r="C117" i="1"/>
  <c r="C115" i="1"/>
  <c r="C158" i="1"/>
  <c r="I157" i="1"/>
  <c r="C157" i="1"/>
  <c r="C21" i="1"/>
  <c r="C116" i="1"/>
  <c r="I155" i="1"/>
  <c r="C52" i="1"/>
  <c r="C50" i="1"/>
  <c r="I50" i="1"/>
  <c r="C696" i="1"/>
  <c r="C572" i="1"/>
  <c r="C334" i="1"/>
  <c r="C333" i="1"/>
  <c r="I285" i="1"/>
  <c r="I482" i="1"/>
  <c r="I352" i="1"/>
  <c r="C209" i="1"/>
  <c r="I512" i="1"/>
  <c r="I356" i="1"/>
  <c r="C356" i="1"/>
  <c r="I337" i="1"/>
  <c r="I542" i="1"/>
  <c r="C542" i="1"/>
  <c r="C396" i="1"/>
  <c r="C206" i="1"/>
  <c r="I22" i="1"/>
  <c r="I117" i="1"/>
  <c r="C156" i="1"/>
  <c r="I51" i="1"/>
  <c r="C49" i="1"/>
  <c r="I49" i="1"/>
  <c r="I335" i="1"/>
  <c r="C283" i="1"/>
  <c r="C562" i="1"/>
  <c r="C208" i="1"/>
  <c r="C364" i="1"/>
  <c r="I206" i="1"/>
  <c r="C502" i="1"/>
  <c r="C594" i="1"/>
  <c r="I364" i="1"/>
  <c r="I208" i="1"/>
  <c r="C458" i="1"/>
  <c r="I209" i="1"/>
  <c r="I594" i="1"/>
  <c r="C352" i="1"/>
  <c r="C512" i="1"/>
  <c r="L74" i="31"/>
  <c r="C20" i="1"/>
  <c r="C22" i="1"/>
  <c r="C118" i="1"/>
  <c r="C155" i="1"/>
  <c r="C53" i="1"/>
  <c r="I53" i="1"/>
  <c r="I696" i="1"/>
  <c r="C335" i="1"/>
  <c r="I284" i="1"/>
  <c r="I283" i="1"/>
  <c r="C287" i="1"/>
  <c r="C532" i="1"/>
  <c r="I532" i="1"/>
  <c r="L67" i="56"/>
  <c r="I396" i="1"/>
  <c r="C337" i="1"/>
  <c r="C366" i="1"/>
  <c r="I472" i="1"/>
  <c r="I562" i="1"/>
  <c r="I405" i="1"/>
  <c r="I458" i="1"/>
  <c r="I287" i="1"/>
  <c r="I668" i="1"/>
  <c r="C23" i="1"/>
  <c r="C119" i="1"/>
  <c r="I115" i="1"/>
  <c r="I156" i="1"/>
  <c r="I52" i="1"/>
  <c r="C51" i="1"/>
  <c r="I572" i="1"/>
  <c r="I334" i="1"/>
  <c r="I333" i="1"/>
  <c r="C285" i="1"/>
  <c r="C284" i="1"/>
  <c r="C405" i="1"/>
  <c r="C210" i="1"/>
  <c r="C207" i="1"/>
  <c r="I502" i="1"/>
  <c r="C548" i="1"/>
  <c r="C482" i="1"/>
  <c r="C472" i="1"/>
  <c r="I522" i="1"/>
  <c r="L67" i="8"/>
  <c r="I210" i="1"/>
  <c r="C522" i="1"/>
  <c r="C668" i="1"/>
  <c r="I207" i="1"/>
  <c r="B19" i="37"/>
  <c r="B19" i="5"/>
  <c r="B19" i="3"/>
  <c r="B21" i="53"/>
  <c r="B22" i="51"/>
  <c r="B19" i="30"/>
  <c r="B19" i="31"/>
  <c r="B19" i="4"/>
  <c r="B19" i="74"/>
  <c r="B19" i="54"/>
  <c r="B19" i="71"/>
  <c r="B21" i="78"/>
  <c r="B22" i="55"/>
  <c r="B19" i="7"/>
  <c r="B19" i="6"/>
  <c r="I543" i="1"/>
  <c r="C703" i="1"/>
  <c r="C697" i="1"/>
  <c r="C10" i="1"/>
  <c r="C121" i="1"/>
  <c r="C123" i="1"/>
  <c r="I120" i="1"/>
  <c r="I13" i="1"/>
  <c r="I55" i="1"/>
  <c r="C54" i="1"/>
  <c r="I54" i="1"/>
  <c r="I132" i="1"/>
  <c r="C132" i="1"/>
  <c r="C133" i="1"/>
  <c r="I602" i="1"/>
  <c r="C485" i="1"/>
  <c r="C9" i="1"/>
  <c r="C120" i="1"/>
  <c r="C13" i="1"/>
  <c r="I12" i="1"/>
  <c r="I11" i="1"/>
  <c r="C58" i="1"/>
  <c r="C56" i="1"/>
  <c r="I697" i="1"/>
  <c r="C12" i="1"/>
  <c r="I121" i="1"/>
  <c r="I10" i="1"/>
  <c r="I58" i="1"/>
  <c r="I56" i="1"/>
  <c r="I131" i="1"/>
  <c r="I184" i="1"/>
  <c r="I523" i="1"/>
  <c r="C259" i="1"/>
  <c r="I553" i="1"/>
  <c r="I270" i="1"/>
  <c r="C185" i="1"/>
  <c r="C533" i="1"/>
  <c r="I317" i="1"/>
  <c r="I391" i="1"/>
  <c r="I419" i="1"/>
  <c r="I457" i="1"/>
  <c r="C589" i="1"/>
  <c r="I264" i="1"/>
  <c r="I510" i="1"/>
  <c r="C602" i="1"/>
  <c r="I485" i="1"/>
  <c r="C11" i="1"/>
  <c r="I124" i="1"/>
  <c r="C57" i="1"/>
  <c r="C131" i="1"/>
  <c r="C134" i="1"/>
  <c r="C400" i="1"/>
  <c r="C273" i="1"/>
  <c r="I475" i="1"/>
  <c r="L69" i="31"/>
  <c r="I495" i="1"/>
  <c r="C317" i="1"/>
  <c r="I181" i="1"/>
  <c r="C475" i="1"/>
  <c r="C510" i="1"/>
  <c r="I183" i="1"/>
  <c r="C182" i="1"/>
  <c r="I185" i="1"/>
  <c r="C457" i="1"/>
  <c r="C523" i="1"/>
  <c r="C124" i="1"/>
  <c r="I9" i="1"/>
  <c r="I122" i="1"/>
  <c r="C55" i="1"/>
  <c r="C130" i="1"/>
  <c r="I134" i="1"/>
  <c r="I400" i="1"/>
  <c r="I273" i="1"/>
  <c r="C465" i="1"/>
  <c r="I563" i="1"/>
  <c r="C553" i="1"/>
  <c r="I533" i="1"/>
  <c r="C419" i="1"/>
  <c r="I323" i="1"/>
  <c r="I259" i="1"/>
  <c r="I465" i="1"/>
  <c r="C184" i="1"/>
  <c r="C543" i="1"/>
  <c r="C270" i="1"/>
  <c r="C320" i="1"/>
  <c r="C183" i="1"/>
  <c r="I703" i="1"/>
  <c r="C122" i="1"/>
  <c r="I123" i="1"/>
  <c r="I57" i="1"/>
  <c r="I133" i="1"/>
  <c r="I130" i="1"/>
  <c r="C391" i="1"/>
  <c r="C181" i="1"/>
  <c r="C495" i="1"/>
  <c r="C513" i="1"/>
  <c r="I182" i="1"/>
  <c r="I589" i="1"/>
  <c r="C563" i="1"/>
  <c r="C264" i="1"/>
  <c r="I267" i="1"/>
  <c r="I513" i="1"/>
  <c r="C323" i="1"/>
  <c r="C267" i="1"/>
  <c r="I320" i="1"/>
  <c r="A44" i="53"/>
  <c r="A34" i="62"/>
  <c r="A31" i="47"/>
  <c r="A34" i="33"/>
  <c r="A34" i="18"/>
  <c r="A44" i="55"/>
  <c r="A35" i="80"/>
  <c r="A34" i="61"/>
  <c r="A34" i="34"/>
  <c r="A34" i="20"/>
  <c r="A35" i="8"/>
  <c r="A46" i="51"/>
  <c r="A44" i="78"/>
  <c r="A34" i="58"/>
  <c r="A33" i="46"/>
  <c r="A34" i="19"/>
  <c r="A39" i="74"/>
  <c r="A42" i="71"/>
  <c r="A42" i="4"/>
  <c r="A32" i="48"/>
  <c r="A34" i="56"/>
  <c r="A42" i="30"/>
  <c r="A42" i="54"/>
  <c r="A35" i="81"/>
  <c r="A33" i="44"/>
  <c r="A34" i="17"/>
  <c r="A43" i="72"/>
  <c r="A42" i="31"/>
  <c r="A34" i="70"/>
  <c r="A42" i="5"/>
  <c r="A42" i="3"/>
  <c r="A39" i="37"/>
  <c r="A42" i="6"/>
  <c r="A42" i="7"/>
  <c r="A3" i="80"/>
  <c r="A3" i="48"/>
  <c r="A3" i="5"/>
  <c r="A3" i="31"/>
  <c r="A3" i="56"/>
  <c r="A3" i="46"/>
  <c r="A3" i="7"/>
  <c r="A3" i="70"/>
  <c r="A3" i="78"/>
  <c r="A3" i="61"/>
  <c r="A3" i="20"/>
  <c r="A3" i="30"/>
  <c r="A3" i="47"/>
  <c r="A3" i="55"/>
  <c r="A3" i="33"/>
  <c r="A3" i="71"/>
  <c r="A3" i="37"/>
  <c r="A3" i="81"/>
  <c r="A3" i="58"/>
  <c r="A3" i="51"/>
  <c r="A3" i="8"/>
  <c r="A3" i="17"/>
  <c r="A3" i="54"/>
  <c r="A3" i="74"/>
  <c r="A3" i="34"/>
  <c r="A3" i="53"/>
  <c r="A3" i="44"/>
  <c r="A3" i="72"/>
  <c r="A3" i="62"/>
  <c r="A3" i="6"/>
  <c r="A3" i="18"/>
  <c r="A3" i="19"/>
  <c r="A3" i="4"/>
  <c r="A3" i="3"/>
  <c r="I104" i="1"/>
  <c r="I101" i="1"/>
  <c r="I62" i="1"/>
  <c r="C144" i="1"/>
  <c r="I402" i="1"/>
  <c r="I466" i="1"/>
  <c r="C393" i="1"/>
  <c r="I575" i="1"/>
  <c r="I590" i="1"/>
  <c r="I558" i="1"/>
  <c r="I63" i="1"/>
  <c r="C194" i="1"/>
  <c r="C324" i="1"/>
  <c r="I274" i="1"/>
  <c r="C191" i="1"/>
  <c r="I195" i="1"/>
  <c r="L71" i="31"/>
  <c r="I275" i="1"/>
  <c r="C590" i="1"/>
  <c r="C275" i="1"/>
  <c r="C60" i="1"/>
  <c r="C558" i="1"/>
  <c r="C325" i="1"/>
  <c r="C568" i="1"/>
  <c r="I496" i="1"/>
  <c r="C104" i="1"/>
  <c r="I144" i="1"/>
  <c r="I324" i="1"/>
  <c r="I276" i="1"/>
  <c r="I568" i="1"/>
  <c r="C192" i="1"/>
  <c r="I192" i="1"/>
  <c r="I114" i="1"/>
  <c r="I561" i="1"/>
  <c r="I331" i="1"/>
  <c r="C205" i="1"/>
  <c r="I280" i="1"/>
  <c r="C202" i="1"/>
  <c r="I332" i="1"/>
  <c r="C201" i="1"/>
  <c r="I593" i="1"/>
  <c r="C468" i="1"/>
  <c r="I468" i="1"/>
  <c r="C571" i="1"/>
  <c r="I571" i="1"/>
  <c r="I550" i="1"/>
  <c r="I477" i="1"/>
  <c r="C32" i="1"/>
  <c r="C108" i="1"/>
  <c r="C106" i="1"/>
  <c r="I109" i="1"/>
  <c r="I105" i="1"/>
  <c r="I32" i="1"/>
  <c r="C66" i="1"/>
  <c r="I65" i="1"/>
  <c r="C64" i="1"/>
  <c r="I145" i="1"/>
  <c r="C145" i="1"/>
  <c r="I328" i="1"/>
  <c r="C394" i="1"/>
  <c r="C198" i="1"/>
  <c r="L72" i="31"/>
  <c r="C278" i="1"/>
  <c r="I403" i="1"/>
  <c r="I196" i="1"/>
  <c r="I576" i="1"/>
  <c r="I200" i="1"/>
  <c r="C279" i="1"/>
  <c r="I198" i="1"/>
  <c r="C489" i="1"/>
  <c r="C477" i="1"/>
  <c r="C506" i="1"/>
  <c r="I535" i="1"/>
  <c r="I526" i="1"/>
  <c r="I517" i="1"/>
  <c r="I489" i="1"/>
  <c r="I700" i="1"/>
  <c r="C105" i="1"/>
  <c r="C109" i="1"/>
  <c r="I29" i="1"/>
  <c r="I33" i="1"/>
  <c r="C67" i="1"/>
  <c r="I68" i="1"/>
  <c r="C148" i="1"/>
  <c r="I147" i="1"/>
  <c r="C147" i="1"/>
  <c r="I569" i="1"/>
  <c r="C328" i="1"/>
  <c r="C329" i="1"/>
  <c r="C559" i="1"/>
  <c r="I467" i="1"/>
  <c r="C327" i="1"/>
  <c r="I277" i="1"/>
  <c r="I199" i="1"/>
  <c r="C199" i="1"/>
  <c r="I506" i="1"/>
  <c r="C535" i="1"/>
  <c r="C526" i="1"/>
  <c r="C517" i="1"/>
  <c r="C706" i="1"/>
  <c r="I706" i="1"/>
  <c r="C700" i="1"/>
  <c r="C107" i="1"/>
  <c r="C31" i="1"/>
  <c r="C29" i="1"/>
  <c r="I106" i="1"/>
  <c r="I107" i="1"/>
  <c r="I67" i="1"/>
  <c r="C68" i="1"/>
  <c r="I66" i="1"/>
  <c r="I146" i="1"/>
  <c r="C146" i="1"/>
  <c r="I197" i="1"/>
  <c r="L67" i="17"/>
  <c r="C592" i="1"/>
  <c r="C467" i="1"/>
  <c r="I329" i="1"/>
  <c r="I394" i="1"/>
  <c r="C197" i="1"/>
  <c r="I108" i="1"/>
  <c r="I64" i="1"/>
  <c r="I592" i="1"/>
  <c r="C576" i="1"/>
  <c r="I278" i="1"/>
  <c r="C30" i="1"/>
  <c r="I149" i="1"/>
  <c r="C569" i="1"/>
  <c r="C497" i="1"/>
  <c r="C277" i="1"/>
  <c r="I279" i="1"/>
  <c r="C33" i="1"/>
  <c r="I30" i="1"/>
  <c r="C149" i="1"/>
  <c r="I327" i="1"/>
  <c r="I497" i="1"/>
  <c r="C200" i="1"/>
  <c r="I31" i="1"/>
  <c r="C65" i="1"/>
  <c r="I148" i="1"/>
  <c r="C403" i="1"/>
  <c r="C196" i="1"/>
  <c r="I559" i="1"/>
  <c r="C550" i="1"/>
  <c r="I698" i="1"/>
  <c r="I135" i="1"/>
  <c r="C135" i="1"/>
  <c r="C138" i="1"/>
  <c r="I47" i="1"/>
  <c r="C47" i="1"/>
  <c r="C17" i="1"/>
  <c r="C18" i="1"/>
  <c r="C99" i="1"/>
  <c r="C15" i="1"/>
  <c r="I98" i="1"/>
  <c r="C453" i="1"/>
  <c r="I600" i="1"/>
  <c r="C691" i="1"/>
  <c r="C272" i="1"/>
  <c r="C624" i="1"/>
  <c r="I322" i="1"/>
  <c r="I386" i="1"/>
  <c r="C427" i="1"/>
  <c r="I388" i="1"/>
  <c r="I251" i="1"/>
  <c r="C435" i="1"/>
  <c r="C387" i="1"/>
  <c r="I387" i="1"/>
  <c r="C631" i="1"/>
  <c r="C554" i="1"/>
  <c r="I564" i="1"/>
  <c r="I231" i="1"/>
  <c r="C698" i="1"/>
  <c r="C704" i="1"/>
  <c r="I704" i="1"/>
  <c r="C587" i="1"/>
  <c r="I137" i="1"/>
  <c r="C137" i="1"/>
  <c r="C44" i="1"/>
  <c r="I45" i="1"/>
  <c r="C48" i="1"/>
  <c r="C96" i="1"/>
  <c r="I16" i="1"/>
  <c r="I95" i="1"/>
  <c r="I14" i="1"/>
  <c r="I97" i="1"/>
  <c r="I440" i="1"/>
  <c r="C690" i="1"/>
  <c r="I514" i="1"/>
  <c r="C573" i="1"/>
  <c r="C386" i="1"/>
  <c r="C634" i="1"/>
  <c r="I632" i="1"/>
  <c r="C254" i="1"/>
  <c r="C620" i="1"/>
  <c r="C258" i="1"/>
  <c r="C632" i="1"/>
  <c r="I585" i="1"/>
  <c r="I573" i="1"/>
  <c r="C190" i="1"/>
  <c r="I319" i="1"/>
  <c r="I301" i="1"/>
  <c r="C322" i="1"/>
  <c r="I410" i="1"/>
  <c r="C252" i="1"/>
  <c r="C432" i="1"/>
  <c r="I578" i="1"/>
  <c r="I613" i="1"/>
  <c r="I456" i="1"/>
  <c r="I623" i="1"/>
  <c r="C672" i="1"/>
  <c r="C300" i="1"/>
  <c r="I474" i="1"/>
  <c r="C446" i="1"/>
  <c r="C319" i="1"/>
  <c r="I554" i="1"/>
  <c r="C238" i="1"/>
  <c r="C438" i="1"/>
  <c r="C614" i="1"/>
  <c r="C611" i="1"/>
  <c r="C581" i="1"/>
  <c r="L65" i="17"/>
  <c r="I432" i="1"/>
  <c r="C583" i="1"/>
  <c r="C564" i="1"/>
  <c r="C425" i="1"/>
  <c r="I631" i="1"/>
  <c r="C316" i="1"/>
  <c r="C186" i="1"/>
  <c r="C311" i="1"/>
  <c r="C255" i="1"/>
  <c r="C233" i="1"/>
  <c r="I254" i="1"/>
  <c r="C299" i="1"/>
  <c r="I544" i="1"/>
  <c r="I587" i="1"/>
  <c r="I136" i="1"/>
  <c r="C136" i="1"/>
  <c r="I139" i="1"/>
  <c r="I48" i="1"/>
  <c r="I44" i="1"/>
  <c r="C95" i="1"/>
  <c r="C97" i="1"/>
  <c r="I17" i="1"/>
  <c r="C98" i="1"/>
  <c r="I18" i="1"/>
  <c r="I438" i="1"/>
  <c r="I670" i="1"/>
  <c r="C613" i="1"/>
  <c r="I667" i="1"/>
  <c r="I253" i="1"/>
  <c r="C588" i="1"/>
  <c r="C139" i="1"/>
  <c r="I46" i="1"/>
  <c r="I96" i="1"/>
  <c r="I614" i="1"/>
  <c r="C378" i="1"/>
  <c r="I422" i="1"/>
  <c r="C232" i="1"/>
  <c r="I450" i="1"/>
  <c r="I663" i="1"/>
  <c r="I392" i="1"/>
  <c r="I524" i="1"/>
  <c r="I416" i="1"/>
  <c r="I435" i="1"/>
  <c r="I425" i="1"/>
  <c r="C440" i="1"/>
  <c r="I588" i="1"/>
  <c r="C301" i="1"/>
  <c r="C474" i="1"/>
  <c r="C504" i="1"/>
  <c r="C464" i="1"/>
  <c r="I446" i="1"/>
  <c r="I622" i="1"/>
  <c r="I634" i="1"/>
  <c r="I186" i="1"/>
  <c r="I300" i="1"/>
  <c r="C251" i="1"/>
  <c r="C189" i="1"/>
  <c r="I269" i="1"/>
  <c r="I138" i="1"/>
  <c r="C16" i="1"/>
  <c r="I272" i="1"/>
  <c r="C585" i="1"/>
  <c r="C456" i="1"/>
  <c r="I583" i="1"/>
  <c r="C310" i="1"/>
  <c r="I603" i="1"/>
  <c r="I610" i="1"/>
  <c r="I674" i="1"/>
  <c r="C603" i="1"/>
  <c r="I464" i="1"/>
  <c r="I539" i="1"/>
  <c r="I494" i="1"/>
  <c r="I376" i="1"/>
  <c r="C621" i="1"/>
  <c r="C630" i="1"/>
  <c r="C376" i="1"/>
  <c r="C524" i="1"/>
  <c r="C578" i="1"/>
  <c r="C612" i="1"/>
  <c r="C514" i="1"/>
  <c r="C667" i="1"/>
  <c r="C450" i="1"/>
  <c r="I316" i="1"/>
  <c r="I187" i="1"/>
  <c r="I263" i="1"/>
  <c r="C239" i="1"/>
  <c r="I252" i="1"/>
  <c r="C269" i="1"/>
  <c r="C45" i="1"/>
  <c r="C692" i="1"/>
  <c r="C14" i="1"/>
  <c r="C600" i="1"/>
  <c r="I255" i="1"/>
  <c r="I621" i="1"/>
  <c r="I311" i="1"/>
  <c r="C266" i="1"/>
  <c r="C443" i="1"/>
  <c r="I310" i="1"/>
  <c r="I299" i="1"/>
  <c r="I377" i="1"/>
  <c r="I484" i="1"/>
  <c r="C309" i="1"/>
  <c r="C663" i="1"/>
  <c r="C674" i="1"/>
  <c r="I611" i="1"/>
  <c r="C623" i="1"/>
  <c r="I239" i="1"/>
  <c r="I504" i="1"/>
  <c r="C484" i="1"/>
  <c r="C388" i="1"/>
  <c r="I401" i="1"/>
  <c r="C544" i="1"/>
  <c r="I630" i="1"/>
  <c r="I624" i="1"/>
  <c r="C539" i="1"/>
  <c r="I581" i="1"/>
  <c r="C494" i="1"/>
  <c r="I188" i="1"/>
  <c r="C187" i="1"/>
  <c r="C263" i="1"/>
  <c r="C231" i="1"/>
  <c r="I190" i="1"/>
  <c r="C46" i="1"/>
  <c r="I99" i="1"/>
  <c r="I15" i="1"/>
  <c r="I413" i="1"/>
  <c r="I453" i="1"/>
  <c r="I378" i="1"/>
  <c r="I233" i="1"/>
  <c r="C392" i="1"/>
  <c r="C377" i="1"/>
  <c r="I443" i="1"/>
  <c r="C410" i="1"/>
  <c r="I266" i="1"/>
  <c r="I309" i="1"/>
  <c r="L70" i="31"/>
  <c r="I612" i="1"/>
  <c r="C401" i="1"/>
  <c r="C670" i="1"/>
  <c r="C413" i="1"/>
  <c r="C633" i="1"/>
  <c r="I258" i="1"/>
  <c r="I427" i="1"/>
  <c r="I633" i="1"/>
  <c r="C416" i="1"/>
  <c r="I672" i="1"/>
  <c r="C422" i="1"/>
  <c r="C610" i="1"/>
  <c r="C622" i="1"/>
  <c r="I620" i="1"/>
  <c r="C188" i="1"/>
  <c r="I238" i="1"/>
  <c r="C253" i="1"/>
  <c r="I189" i="1"/>
  <c r="I232" i="1"/>
  <c r="K12" i="78"/>
  <c r="L12" i="78" s="1"/>
  <c r="M12" i="78" s="1"/>
  <c r="L13" i="78" s="1"/>
  <c r="L18" i="78" s="1"/>
  <c r="L19" i="78" s="1"/>
  <c r="D55" i="37"/>
  <c r="A54" i="37"/>
  <c r="Q32" i="7"/>
  <c r="Q22" i="7"/>
  <c r="R22" i="7" s="1"/>
  <c r="Q24" i="7"/>
  <c r="R24" i="7" s="1"/>
  <c r="S17" i="7"/>
  <c r="S9" i="7" s="1"/>
  <c r="Q31" i="7"/>
  <c r="Q25" i="7"/>
  <c r="L13" i="7"/>
  <c r="U8" i="5"/>
  <c r="R9" i="5"/>
  <c r="R10" i="5" s="1"/>
  <c r="R11" i="5" s="1"/>
  <c r="R12" i="5" s="1"/>
  <c r="R13" i="5" s="1"/>
  <c r="R14" i="5" s="1"/>
  <c r="S8" i="5"/>
  <c r="T8" i="5"/>
  <c r="N12" i="5"/>
  <c r="C13" i="5"/>
  <c r="A56" i="5" s="1"/>
  <c r="D57" i="5"/>
  <c r="M13" i="6"/>
  <c r="N12" i="71"/>
  <c r="R29" i="71"/>
  <c r="S29" i="71" s="1"/>
  <c r="T29" i="71" s="1"/>
  <c r="R26" i="71"/>
  <c r="S26" i="71" s="1"/>
  <c r="S17" i="71"/>
  <c r="S9" i="71" s="1"/>
  <c r="R21" i="71"/>
  <c r="S21" i="71" s="1"/>
  <c r="T21" i="71" s="1"/>
  <c r="R24" i="71"/>
  <c r="S24" i="71" s="1"/>
  <c r="R32" i="71"/>
  <c r="S32" i="71" s="1"/>
  <c r="T32" i="71" s="1"/>
  <c r="R30" i="71"/>
  <c r="S30" i="71" s="1"/>
  <c r="R27" i="71"/>
  <c r="S27" i="71" s="1"/>
  <c r="R25" i="71"/>
  <c r="S25" i="71" s="1"/>
  <c r="U25" i="71" s="1"/>
  <c r="T17" i="71"/>
  <c r="T9" i="71" s="1"/>
  <c r="R22" i="71"/>
  <c r="S22" i="71" s="1"/>
  <c r="U22" i="71" s="1"/>
  <c r="R31" i="71"/>
  <c r="S31" i="71" s="1"/>
  <c r="U31" i="71" s="1"/>
  <c r="V27" i="30"/>
  <c r="U27" i="30"/>
  <c r="T24" i="30"/>
  <c r="U24" i="30"/>
  <c r="S8" i="4"/>
  <c r="T8" i="4"/>
  <c r="R9" i="4"/>
  <c r="R10" i="4" s="1"/>
  <c r="R11" i="4" s="1"/>
  <c r="R12" i="4" s="1"/>
  <c r="R13" i="4" s="1"/>
  <c r="R14" i="4" s="1"/>
  <c r="U8" i="4"/>
  <c r="O7" i="4"/>
  <c r="O8" i="4" s="1"/>
  <c r="D57" i="4"/>
  <c r="N12" i="4"/>
  <c r="T8" i="72"/>
  <c r="Q9" i="72"/>
  <c r="Q10" i="72" s="1"/>
  <c r="Q11" i="72" s="1"/>
  <c r="Q12" i="72" s="1"/>
  <c r="Q13" i="72" s="1"/>
  <c r="Q14" i="72" s="1"/>
  <c r="R8" i="72"/>
  <c r="S8" i="72"/>
  <c r="N7" i="72"/>
  <c r="N8" i="72" s="1"/>
  <c r="M12" i="72"/>
  <c r="L13" i="72" s="1"/>
  <c r="M13" i="72" s="1"/>
  <c r="M14" i="72" s="1"/>
  <c r="K9" i="51"/>
  <c r="K11" i="51" s="1"/>
  <c r="K12" i="51"/>
  <c r="L12" i="51" s="1"/>
  <c r="K38" i="51"/>
  <c r="Q8" i="51"/>
  <c r="K13" i="51"/>
  <c r="N10" i="81"/>
  <c r="N11" i="81" s="1"/>
  <c r="T8" i="81"/>
  <c r="Q9" i="81"/>
  <c r="Q10" i="81" s="1"/>
  <c r="Q11" i="81" s="1"/>
  <c r="Q12" i="81" s="1"/>
  <c r="Q13" i="81" s="1"/>
  <c r="Q14" i="81" s="1"/>
  <c r="R8" i="81"/>
  <c r="S8" i="81"/>
  <c r="F59" i="57"/>
  <c r="F78" i="57" s="1"/>
  <c r="T24" i="7"/>
  <c r="S24" i="7"/>
  <c r="K12" i="80"/>
  <c r="L12" i="80" s="1"/>
  <c r="K33" i="80"/>
  <c r="Q8" i="80"/>
  <c r="K9" i="80"/>
  <c r="K11" i="80" s="1"/>
  <c r="Q14" i="80"/>
  <c r="R25" i="7"/>
  <c r="T25" i="7" s="1"/>
  <c r="T22" i="7"/>
  <c r="U25" i="6"/>
  <c r="V32" i="71"/>
  <c r="R26" i="7"/>
  <c r="S26" i="55"/>
  <c r="R27" i="55"/>
  <c r="T26" i="55"/>
  <c r="U30" i="30"/>
  <c r="T30" i="30"/>
  <c r="C12" i="74"/>
  <c r="L14" i="55"/>
  <c r="L19" i="55" s="1"/>
  <c r="M13" i="55"/>
  <c r="M14" i="55" s="1"/>
  <c r="S26" i="6"/>
  <c r="S27" i="6" s="1"/>
  <c r="L13" i="81"/>
  <c r="S31" i="30"/>
  <c r="G48" i="7"/>
  <c r="G28" i="80"/>
  <c r="G36" i="62"/>
  <c r="S8" i="3"/>
  <c r="T8" i="3"/>
  <c r="R9" i="3"/>
  <c r="R10" i="3" s="1"/>
  <c r="R11" i="3" s="1"/>
  <c r="R12" i="3" s="1"/>
  <c r="R13" i="3" s="1"/>
  <c r="R14" i="3" s="1"/>
  <c r="U8" i="3"/>
  <c r="O7" i="3"/>
  <c r="O8" i="3" s="1"/>
  <c r="O10" i="3"/>
  <c r="O11" i="3" s="1"/>
  <c r="M13" i="3"/>
  <c r="A53" i="74"/>
  <c r="D54" i="74"/>
  <c r="B10" i="17"/>
  <c r="B9" i="17"/>
  <c r="B11" i="17"/>
  <c r="D31" i="17" s="1"/>
  <c r="N7" i="54"/>
  <c r="N8" i="54" s="1"/>
  <c r="M12" i="54"/>
  <c r="R8" i="54"/>
  <c r="T8" i="54"/>
  <c r="Q9" i="54"/>
  <c r="Q10" i="54" s="1"/>
  <c r="Q11" i="54" s="1"/>
  <c r="Q12" i="54" s="1"/>
  <c r="Q13" i="54" s="1"/>
  <c r="Q14" i="54" s="1"/>
  <c r="S8" i="54"/>
  <c r="K37" i="78"/>
  <c r="Q8" i="78"/>
  <c r="M13" i="78"/>
  <c r="M18" i="78" s="1"/>
  <c r="N7" i="78"/>
  <c r="N8" i="78" s="1"/>
  <c r="N10" i="78"/>
  <c r="N11" i="78" s="1"/>
  <c r="L13" i="31"/>
  <c r="L9" i="31"/>
  <c r="L11" i="31" s="1"/>
  <c r="L12" i="31"/>
  <c r="M12" i="31" s="1"/>
  <c r="N12" i="31" s="1"/>
  <c r="R8" i="31"/>
  <c r="N10" i="53"/>
  <c r="N11" i="53" s="1"/>
  <c r="N7" i="53"/>
  <c r="N8" i="53" s="1"/>
  <c r="R8" i="53"/>
  <c r="S8" i="53"/>
  <c r="Q9" i="53"/>
  <c r="Q10" i="53" s="1"/>
  <c r="Q11" i="53" s="1"/>
  <c r="Q12" i="53" s="1"/>
  <c r="Q13" i="53" s="1"/>
  <c r="Q18" i="53" s="1"/>
  <c r="T8" i="53"/>
  <c r="M12" i="53"/>
  <c r="A35" i="85" l="1"/>
  <c r="A35" i="86"/>
  <c r="A34" i="86"/>
  <c r="A34" i="85"/>
  <c r="B2" i="78"/>
  <c r="B2" i="86"/>
  <c r="B2" i="85"/>
  <c r="G27" i="5"/>
  <c r="G27" i="71" s="1"/>
  <c r="G27" i="85"/>
  <c r="B34" i="54"/>
  <c r="B31" i="70"/>
  <c r="I31" i="70" s="1"/>
  <c r="B30" i="44"/>
  <c r="I30" i="44" s="1"/>
  <c r="B31" i="19"/>
  <c r="I31" i="19" s="1"/>
  <c r="B34" i="30"/>
  <c r="K34" i="30" s="1"/>
  <c r="D3" i="5"/>
  <c r="D3" i="86"/>
  <c r="D3" i="85"/>
  <c r="A32" i="31"/>
  <c r="A32" i="86"/>
  <c r="B5" i="31"/>
  <c r="B5" i="85"/>
  <c r="G27" i="53"/>
  <c r="G25" i="85"/>
  <c r="A25" i="58"/>
  <c r="A28" i="86"/>
  <c r="A9" i="55"/>
  <c r="A9" i="85"/>
  <c r="A52" i="30"/>
  <c r="A53" i="86"/>
  <c r="A43" i="6"/>
  <c r="A43" i="85"/>
  <c r="A43" i="86"/>
  <c r="C26" i="74"/>
  <c r="C27" i="85"/>
  <c r="A35" i="78"/>
  <c r="A33" i="86"/>
  <c r="A33" i="85"/>
  <c r="A12" i="51"/>
  <c r="A12" i="85"/>
  <c r="A11" i="55"/>
  <c r="A11" i="85"/>
  <c r="B31" i="20"/>
  <c r="I31" i="20" s="1"/>
  <c r="B34" i="6"/>
  <c r="I34" i="6" s="1"/>
  <c r="B34" i="7"/>
  <c r="I34" i="7" s="1"/>
  <c r="A52" i="71"/>
  <c r="A52" i="86"/>
  <c r="A33" i="55"/>
  <c r="A31" i="86"/>
  <c r="D24" i="34"/>
  <c r="D27" i="85"/>
  <c r="A10" i="51"/>
  <c r="A10" i="85"/>
  <c r="B34" i="85"/>
  <c r="I34" i="85" s="1"/>
  <c r="F26" i="74"/>
  <c r="F27" i="85"/>
  <c r="B5" i="86"/>
  <c r="A50" i="54"/>
  <c r="A50" i="86"/>
  <c r="B34" i="5"/>
  <c r="I34" i="5" s="1"/>
  <c r="B36" i="55"/>
  <c r="I36" i="55" s="1"/>
  <c r="B38" i="51"/>
  <c r="I38" i="51" s="1"/>
  <c r="B33" i="86"/>
  <c r="I33" i="86" s="1"/>
  <c r="A38" i="86"/>
  <c r="A38" i="85"/>
  <c r="A27" i="81"/>
  <c r="A29" i="86"/>
  <c r="A26" i="31"/>
  <c r="A26" i="86"/>
  <c r="A26" i="85"/>
  <c r="A27" i="61"/>
  <c r="A30" i="86"/>
  <c r="A4" i="58"/>
  <c r="A4" i="86"/>
  <c r="A4" i="85"/>
  <c r="E34" i="86"/>
  <c r="F34" i="86" s="1"/>
  <c r="G34" i="86" s="1"/>
  <c r="K34" i="86"/>
  <c r="C34" i="86"/>
  <c r="B51" i="85"/>
  <c r="B52" i="86"/>
  <c r="I52" i="86" s="1"/>
  <c r="B29" i="85"/>
  <c r="B29" i="86"/>
  <c r="I29" i="86" s="1"/>
  <c r="B30" i="85"/>
  <c r="B30" i="86"/>
  <c r="I30" i="86" s="1"/>
  <c r="B52" i="85"/>
  <c r="B53" i="86"/>
  <c r="I53" i="86" s="1"/>
  <c r="B28" i="85"/>
  <c r="B28" i="86"/>
  <c r="I28" i="86" s="1"/>
  <c r="C33" i="86"/>
  <c r="E33" i="86"/>
  <c r="F33" i="86" s="1"/>
  <c r="G33" i="86" s="1"/>
  <c r="M29" i="86"/>
  <c r="M27" i="86"/>
  <c r="C52" i="85"/>
  <c r="B34" i="3"/>
  <c r="I34" i="3" s="1"/>
  <c r="E51" i="85"/>
  <c r="F51" i="85" s="1"/>
  <c r="G51" i="85" s="1"/>
  <c r="B34" i="4"/>
  <c r="C29" i="85"/>
  <c r="E29" i="85"/>
  <c r="F29" i="85" s="1"/>
  <c r="G29" i="85" s="1"/>
  <c r="C28" i="85"/>
  <c r="M30" i="85"/>
  <c r="B36" i="85"/>
  <c r="I36" i="85" s="1"/>
  <c r="N29" i="85"/>
  <c r="B38" i="85"/>
  <c r="I38" i="85" s="1"/>
  <c r="B31" i="8"/>
  <c r="N10" i="72"/>
  <c r="N11" i="72" s="1"/>
  <c r="L14" i="72"/>
  <c r="L15" i="72" s="1"/>
  <c r="B26" i="8"/>
  <c r="B27" i="8"/>
  <c r="I27" i="8" s="1"/>
  <c r="B32" i="8"/>
  <c r="B48" i="56"/>
  <c r="I48" i="56" s="1"/>
  <c r="B31" i="56"/>
  <c r="B30" i="56"/>
  <c r="B26" i="56"/>
  <c r="I26" i="56" s="1"/>
  <c r="B25" i="56"/>
  <c r="B37" i="72"/>
  <c r="B39" i="72"/>
  <c r="B38" i="72"/>
  <c r="B35" i="72"/>
  <c r="B29" i="72"/>
  <c r="I29" i="72" s="1"/>
  <c r="B53" i="31"/>
  <c r="I53" i="31" s="1"/>
  <c r="B34" i="72"/>
  <c r="B30" i="72"/>
  <c r="I30" i="72" s="1"/>
  <c r="B31" i="72"/>
  <c r="I31" i="72" s="1"/>
  <c r="B34" i="31"/>
  <c r="B33" i="31"/>
  <c r="B29" i="31"/>
  <c r="I29" i="31" s="1"/>
  <c r="B28" i="31"/>
  <c r="A10" i="4"/>
  <c r="A8" i="44"/>
  <c r="A11" i="51"/>
  <c r="A10" i="78"/>
  <c r="A10" i="5"/>
  <c r="D33" i="20"/>
  <c r="A10" i="30"/>
  <c r="A10" i="7"/>
  <c r="D32" i="46"/>
  <c r="A10" i="71"/>
  <c r="A10" i="53"/>
  <c r="A10" i="55"/>
  <c r="D32" i="44"/>
  <c r="D33" i="33"/>
  <c r="A40" i="37"/>
  <c r="A10" i="6"/>
  <c r="A10" i="54"/>
  <c r="D33" i="19"/>
  <c r="D33" i="70"/>
  <c r="A43" i="5"/>
  <c r="G22" i="62"/>
  <c r="A47" i="51"/>
  <c r="A43" i="31"/>
  <c r="B31" i="33"/>
  <c r="B34" i="71"/>
  <c r="A29" i="51"/>
  <c r="A30" i="54"/>
  <c r="A30" i="33"/>
  <c r="A30" i="31"/>
  <c r="A4" i="37"/>
  <c r="A4" i="6"/>
  <c r="A8" i="20"/>
  <c r="A8" i="61"/>
  <c r="A8" i="62"/>
  <c r="A26" i="44"/>
  <c r="A8" i="33"/>
  <c r="A8" i="48"/>
  <c r="A8" i="70"/>
  <c r="A25" i="48"/>
  <c r="A8" i="17"/>
  <c r="A8" i="19"/>
  <c r="A4" i="34"/>
  <c r="A4" i="8"/>
  <c r="A4" i="19" s="1"/>
  <c r="B2" i="30"/>
  <c r="A27" i="70"/>
  <c r="A27" i="33"/>
  <c r="A11" i="5"/>
  <c r="A43" i="54"/>
  <c r="A43" i="30"/>
  <c r="A43" i="4"/>
  <c r="A45" i="55"/>
  <c r="A40" i="74"/>
  <c r="A27" i="19"/>
  <c r="A27" i="20"/>
  <c r="G29" i="53"/>
  <c r="A27" i="34"/>
  <c r="A11" i="54"/>
  <c r="G26" i="37"/>
  <c r="A43" i="71"/>
  <c r="G24" i="62"/>
  <c r="A53" i="71"/>
  <c r="A28" i="71"/>
  <c r="A28" i="47"/>
  <c r="A11" i="30"/>
  <c r="A11" i="53"/>
  <c r="A11" i="7"/>
  <c r="A11" i="6"/>
  <c r="A11" i="78"/>
  <c r="A11" i="4"/>
  <c r="A32" i="74"/>
  <c r="B2" i="72"/>
  <c r="G24" i="61"/>
  <c r="A11" i="71"/>
  <c r="A9" i="58"/>
  <c r="B2" i="46"/>
  <c r="B2" i="6"/>
  <c r="G24" i="58"/>
  <c r="A25" i="62"/>
  <c r="A31" i="17"/>
  <c r="G25" i="5"/>
  <c r="A28" i="5"/>
  <c r="A26" i="81"/>
  <c r="D33" i="58"/>
  <c r="D33" i="17"/>
  <c r="D31" i="48"/>
  <c r="D33" i="61"/>
  <c r="A30" i="44"/>
  <c r="A31" i="34"/>
  <c r="B31" i="18"/>
  <c r="G22" i="61"/>
  <c r="C27" i="6"/>
  <c r="A9" i="4"/>
  <c r="A9" i="78"/>
  <c r="A31" i="20"/>
  <c r="A31" i="51"/>
  <c r="D33" i="18"/>
  <c r="D33" i="34"/>
  <c r="A29" i="58"/>
  <c r="C24" i="70"/>
  <c r="A25" i="46"/>
  <c r="A27" i="62"/>
  <c r="A30" i="5"/>
  <c r="A4" i="62"/>
  <c r="A30" i="7"/>
  <c r="G29" i="55"/>
  <c r="G22" i="47"/>
  <c r="G25" i="71"/>
  <c r="B2" i="34"/>
  <c r="A9" i="51"/>
  <c r="G25" i="80"/>
  <c r="G25" i="8"/>
  <c r="G24" i="19" s="1"/>
  <c r="G29" i="78"/>
  <c r="G27" i="54"/>
  <c r="G24" i="46"/>
  <c r="G30" i="51"/>
  <c r="G23" i="81"/>
  <c r="G25" i="81"/>
  <c r="A31" i="19"/>
  <c r="B2" i="58"/>
  <c r="A31" i="18"/>
  <c r="G27" i="7"/>
  <c r="G24" i="34"/>
  <c r="G26" i="74"/>
  <c r="G27" i="4"/>
  <c r="G24" i="56"/>
  <c r="B2" i="62"/>
  <c r="F24" i="17"/>
  <c r="A4" i="31"/>
  <c r="A4" i="78"/>
  <c r="A4" i="30"/>
  <c r="A4" i="7"/>
  <c r="A4" i="80"/>
  <c r="A4" i="55"/>
  <c r="F24" i="70"/>
  <c r="A30" i="71"/>
  <c r="A30" i="30"/>
  <c r="A4" i="54"/>
  <c r="A4" i="53"/>
  <c r="A4" i="5"/>
  <c r="A4" i="81"/>
  <c r="A4" i="4"/>
  <c r="A4" i="71"/>
  <c r="A4" i="46"/>
  <c r="A4" i="56"/>
  <c r="A4" i="61"/>
  <c r="A4" i="47"/>
  <c r="B2" i="4"/>
  <c r="B2" i="47"/>
  <c r="B2" i="70"/>
  <c r="B2" i="8"/>
  <c r="B2" i="61"/>
  <c r="B2" i="54"/>
  <c r="B2" i="48"/>
  <c r="B2" i="51"/>
  <c r="B2" i="33"/>
  <c r="B2" i="37"/>
  <c r="B2" i="44"/>
  <c r="B2" i="31"/>
  <c r="B2" i="17"/>
  <c r="B2" i="53"/>
  <c r="B2" i="56"/>
  <c r="B2" i="7"/>
  <c r="B2" i="18"/>
  <c r="B2" i="5"/>
  <c r="B2" i="3"/>
  <c r="B2" i="19"/>
  <c r="B2" i="74"/>
  <c r="B2" i="55"/>
  <c r="B2" i="80"/>
  <c r="B2" i="71"/>
  <c r="B2" i="81"/>
  <c r="B2" i="20"/>
  <c r="A26" i="5"/>
  <c r="A47" i="37"/>
  <c r="A12" i="30"/>
  <c r="A10" i="74"/>
  <c r="A23" i="62"/>
  <c r="A25" i="37"/>
  <c r="A46" i="74"/>
  <c r="A33" i="33"/>
  <c r="A9" i="17"/>
  <c r="A26" i="6"/>
  <c r="A23" i="34"/>
  <c r="A9" i="19"/>
  <c r="A50" i="71"/>
  <c r="A12" i="55"/>
  <c r="A12" i="4"/>
  <c r="A10" i="37"/>
  <c r="A12" i="54"/>
  <c r="A9" i="18"/>
  <c r="A49" i="30"/>
  <c r="A12" i="78"/>
  <c r="A33" i="70"/>
  <c r="A9" i="61"/>
  <c r="A12" i="6"/>
  <c r="A12" i="7"/>
  <c r="A50" i="7"/>
  <c r="A12" i="53"/>
  <c r="A31" i="48"/>
  <c r="A31" i="33"/>
  <c r="A29" i="48"/>
  <c r="C24" i="33"/>
  <c r="A10" i="58"/>
  <c r="A29" i="31"/>
  <c r="A50" i="31"/>
  <c r="C23" i="44"/>
  <c r="A32" i="44"/>
  <c r="A31" i="70"/>
  <c r="A12" i="71"/>
  <c r="A12" i="5"/>
  <c r="A30" i="6"/>
  <c r="A27" i="58"/>
  <c r="A4" i="74"/>
  <c r="A4" i="51"/>
  <c r="A28" i="54"/>
  <c r="A28" i="31"/>
  <c r="A27" i="74"/>
  <c r="A27" i="37"/>
  <c r="G8" i="8"/>
  <c r="G8" i="18" s="1"/>
  <c r="A35" i="55"/>
  <c r="A33" i="71"/>
  <c r="A30" i="62"/>
  <c r="A9" i="71"/>
  <c r="A9" i="54"/>
  <c r="C22" i="48"/>
  <c r="C24" i="19"/>
  <c r="A28" i="6"/>
  <c r="A30" i="53"/>
  <c r="A30" i="78"/>
  <c r="A30" i="55"/>
  <c r="A53" i="31"/>
  <c r="A9" i="74"/>
  <c r="A25" i="61"/>
  <c r="A28" i="30"/>
  <c r="A28" i="7"/>
  <c r="A26" i="80"/>
  <c r="A9" i="7"/>
  <c r="A9" i="37"/>
  <c r="A9" i="6"/>
  <c r="C24" i="17"/>
  <c r="F24" i="18"/>
  <c r="F24" i="19"/>
  <c r="A29" i="71"/>
  <c r="A9" i="53"/>
  <c r="A9" i="30"/>
  <c r="A9" i="5"/>
  <c r="F24" i="20"/>
  <c r="F23" i="44"/>
  <c r="A32" i="51"/>
  <c r="F22" i="48"/>
  <c r="A26" i="62"/>
  <c r="A24" i="80"/>
  <c r="A23" i="58"/>
  <c r="A28" i="55"/>
  <c r="A25" i="74"/>
  <c r="A26" i="7"/>
  <c r="A28" i="78"/>
  <c r="G27" i="6"/>
  <c r="G27" i="78"/>
  <c r="G22" i="46"/>
  <c r="G25" i="54"/>
  <c r="G23" i="8"/>
  <c r="G22" i="33" s="1"/>
  <c r="G27" i="55"/>
  <c r="G20" i="47"/>
  <c r="A30" i="70"/>
  <c r="A28" i="48"/>
  <c r="B46" i="58"/>
  <c r="A26" i="4"/>
  <c r="A23" i="46"/>
  <c r="A26" i="54"/>
  <c r="A26" i="30"/>
  <c r="A24" i="8"/>
  <c r="A23" i="20" s="1"/>
  <c r="A24" i="81"/>
  <c r="G25" i="4"/>
  <c r="G25" i="6"/>
  <c r="G22" i="56"/>
  <c r="G22" i="34"/>
  <c r="G24" i="74"/>
  <c r="G23" i="80"/>
  <c r="A29" i="46"/>
  <c r="B31" i="58"/>
  <c r="B52" i="17"/>
  <c r="B48" i="58"/>
  <c r="A21" i="47"/>
  <c r="A26" i="71"/>
  <c r="A23" i="61"/>
  <c r="A28" i="53"/>
  <c r="A23" i="56"/>
  <c r="G22" i="58"/>
  <c r="G28" i="51"/>
  <c r="G25" i="7"/>
  <c r="G24" i="37"/>
  <c r="A27" i="47"/>
  <c r="D3" i="4"/>
  <c r="A30" i="19"/>
  <c r="A37" i="51"/>
  <c r="A33" i="5"/>
  <c r="A33" i="4"/>
  <c r="A31" i="6"/>
  <c r="B31" i="17"/>
  <c r="A32" i="37"/>
  <c r="A33" i="31"/>
  <c r="A33" i="54"/>
  <c r="A35" i="53"/>
  <c r="A31" i="81"/>
  <c r="A30" i="58"/>
  <c r="A33" i="30"/>
  <c r="A33" i="6"/>
  <c r="A30" i="61"/>
  <c r="A31" i="80"/>
  <c r="A33" i="7"/>
  <c r="B51" i="18"/>
  <c r="B47" i="58"/>
  <c r="A30" i="81"/>
  <c r="A10" i="19"/>
  <c r="D27" i="54"/>
  <c r="A24" i="44"/>
  <c r="A25" i="18"/>
  <c r="A23" i="48"/>
  <c r="C34" i="54"/>
  <c r="B50" i="17"/>
  <c r="B31" i="34"/>
  <c r="A29" i="62"/>
  <c r="A10" i="17"/>
  <c r="A25" i="34"/>
  <c r="A25" i="17"/>
  <c r="A10" i="62"/>
  <c r="J34" i="54"/>
  <c r="A10" i="61"/>
  <c r="A25" i="19"/>
  <c r="A25" i="70"/>
  <c r="A26" i="58"/>
  <c r="A29" i="5"/>
  <c r="A26" i="61"/>
  <c r="A31" i="78"/>
  <c r="D3" i="61"/>
  <c r="A52" i="31"/>
  <c r="D3" i="54"/>
  <c r="A29" i="54"/>
  <c r="A29" i="30"/>
  <c r="A31" i="53"/>
  <c r="A29" i="6"/>
  <c r="A27" i="80"/>
  <c r="A33" i="53"/>
  <c r="A28" i="74"/>
  <c r="A31" i="55"/>
  <c r="A28" i="37"/>
  <c r="A29" i="7"/>
  <c r="A28" i="62"/>
  <c r="A31" i="7"/>
  <c r="A30" i="37"/>
  <c r="A31" i="71"/>
  <c r="A29" i="80"/>
  <c r="A29" i="81"/>
  <c r="A31" i="54"/>
  <c r="A33" i="78"/>
  <c r="A31" i="31"/>
  <c r="A34" i="51"/>
  <c r="A31" i="5"/>
  <c r="A28" i="58"/>
  <c r="A31" i="30"/>
  <c r="A28" i="61"/>
  <c r="A30" i="74"/>
  <c r="E22" i="47"/>
  <c r="E24" i="61"/>
  <c r="E29" i="55"/>
  <c r="E27" i="54"/>
  <c r="E30" i="51"/>
  <c r="E25" i="81"/>
  <c r="E24" i="46"/>
  <c r="E27" i="4"/>
  <c r="E25" i="80"/>
  <c r="E25" i="8"/>
  <c r="E27" i="5"/>
  <c r="E24" i="58"/>
  <c r="E24" i="62"/>
  <c r="E29" i="53"/>
  <c r="E26" i="74"/>
  <c r="E24" i="34"/>
  <c r="E29" i="78"/>
  <c r="E27" i="7"/>
  <c r="E24" i="56"/>
  <c r="E26" i="37"/>
  <c r="A31" i="61"/>
  <c r="A34" i="4"/>
  <c r="A36" i="55"/>
  <c r="A34" i="5"/>
  <c r="A33" i="74"/>
  <c r="A36" i="53"/>
  <c r="A34" i="31"/>
  <c r="A34" i="71"/>
  <c r="A32" i="80"/>
  <c r="A31" i="58"/>
  <c r="A34" i="6"/>
  <c r="A36" i="78"/>
  <c r="A38" i="51"/>
  <c r="A32" i="81"/>
  <c r="A34" i="30"/>
  <c r="A34" i="54"/>
  <c r="A33" i="37"/>
  <c r="A31" i="62"/>
  <c r="A34" i="7"/>
  <c r="A25" i="33"/>
  <c r="A25" i="20"/>
  <c r="D22" i="47"/>
  <c r="D24" i="56"/>
  <c r="D25" i="81"/>
  <c r="D30" i="51"/>
  <c r="D27" i="7"/>
  <c r="D29" i="78"/>
  <c r="D24" i="46"/>
  <c r="D25" i="80"/>
  <c r="D26" i="74"/>
  <c r="D24" i="62"/>
  <c r="D26" i="37"/>
  <c r="D24" i="58"/>
  <c r="D27" i="4"/>
  <c r="D27" i="5"/>
  <c r="D25" i="8"/>
  <c r="D29" i="55"/>
  <c r="D29" i="53"/>
  <c r="D24" i="61"/>
  <c r="B5" i="6"/>
  <c r="B5" i="56"/>
  <c r="B5" i="30"/>
  <c r="B5" i="8"/>
  <c r="B5" i="4"/>
  <c r="B5" i="5"/>
  <c r="B5" i="18"/>
  <c r="B5" i="34"/>
  <c r="B5" i="17"/>
  <c r="B5" i="71"/>
  <c r="B50" i="18"/>
  <c r="A7" i="61"/>
  <c r="A7" i="33"/>
  <c r="A7" i="44"/>
  <c r="A7" i="19"/>
  <c r="A7" i="62"/>
  <c r="A7" i="20"/>
  <c r="A7" i="48"/>
  <c r="A7" i="17"/>
  <c r="A7" i="70"/>
  <c r="A7" i="18"/>
  <c r="A35" i="74"/>
  <c r="A40" i="78"/>
  <c r="A40" i="53"/>
  <c r="A38" i="6"/>
  <c r="A42" i="51"/>
  <c r="A40" i="55"/>
  <c r="A38" i="7"/>
  <c r="A38" i="4"/>
  <c r="A38" i="30"/>
  <c r="A38" i="71"/>
  <c r="A38" i="31"/>
  <c r="A38" i="5"/>
  <c r="A35" i="37"/>
  <c r="A38" i="54"/>
  <c r="A35" i="54"/>
  <c r="A35" i="4"/>
  <c r="A35" i="7"/>
  <c r="A53" i="30"/>
  <c r="A35" i="30"/>
  <c r="A35" i="31"/>
  <c r="A37" i="78"/>
  <c r="A39" i="51"/>
  <c r="A35" i="5"/>
  <c r="A35" i="71"/>
  <c r="A35" i="6"/>
  <c r="A37" i="53"/>
  <c r="A37" i="55"/>
  <c r="A51" i="30"/>
  <c r="D3" i="58"/>
  <c r="D3" i="31"/>
  <c r="D3" i="7"/>
  <c r="D3" i="78"/>
  <c r="D3" i="55"/>
  <c r="D3" i="53"/>
  <c r="D3" i="6"/>
  <c r="D3" i="30"/>
  <c r="D3" i="62"/>
  <c r="D3" i="80"/>
  <c r="D3" i="34"/>
  <c r="D3" i="47"/>
  <c r="D3" i="46"/>
  <c r="D3" i="51"/>
  <c r="D3" i="37"/>
  <c r="D3" i="56"/>
  <c r="D55" i="46"/>
  <c r="D57" i="48"/>
  <c r="D60" i="34"/>
  <c r="D52" i="47"/>
  <c r="D60" i="18"/>
  <c r="D59" i="33"/>
  <c r="D59" i="20"/>
  <c r="D62" i="17"/>
  <c r="D60" i="19"/>
  <c r="D59" i="70"/>
  <c r="D58" i="44"/>
  <c r="D3" i="74"/>
  <c r="D3" i="81"/>
  <c r="D3" i="71"/>
  <c r="D3" i="8"/>
  <c r="D3" i="48" s="1"/>
  <c r="A32" i="5"/>
  <c r="A34" i="55"/>
  <c r="A31" i="74"/>
  <c r="A29" i="61"/>
  <c r="A32" i="71"/>
  <c r="A34" i="78"/>
  <c r="A32" i="7"/>
  <c r="A34" i="53"/>
  <c r="A32" i="30"/>
  <c r="A30" i="80"/>
  <c r="A32" i="6"/>
  <c r="A35" i="51"/>
  <c r="A31" i="37"/>
  <c r="A32" i="54"/>
  <c r="F27" i="6"/>
  <c r="F27" i="71"/>
  <c r="B50" i="61"/>
  <c r="B51" i="33"/>
  <c r="C31" i="20"/>
  <c r="E31" i="20"/>
  <c r="F31" i="20" s="1"/>
  <c r="G31" i="20" s="1"/>
  <c r="B48" i="78"/>
  <c r="I48" i="78" s="1"/>
  <c r="B39" i="80"/>
  <c r="I39" i="80" s="1"/>
  <c r="B48" i="53"/>
  <c r="I48" i="53" s="1"/>
  <c r="B39" i="81"/>
  <c r="I39" i="81" s="1"/>
  <c r="B34" i="37"/>
  <c r="I34" i="37" s="1"/>
  <c r="B34" i="74"/>
  <c r="I34" i="74" s="1"/>
  <c r="B36" i="71"/>
  <c r="I36" i="71" s="1"/>
  <c r="B36" i="6"/>
  <c r="I36" i="6" s="1"/>
  <c r="B45" i="58"/>
  <c r="B26" i="58"/>
  <c r="I26" i="58" s="1"/>
  <c r="B51" i="5"/>
  <c r="I51" i="5" s="1"/>
  <c r="B52" i="54"/>
  <c r="I52" i="54" s="1"/>
  <c r="B52" i="71"/>
  <c r="I52" i="71" s="1"/>
  <c r="B51" i="3"/>
  <c r="I51" i="3" s="1"/>
  <c r="B51" i="30"/>
  <c r="I51" i="30" s="1"/>
  <c r="B51" i="4"/>
  <c r="I51" i="4" s="1"/>
  <c r="B52" i="7"/>
  <c r="I52" i="7" s="1"/>
  <c r="B51" i="6"/>
  <c r="I51" i="6" s="1"/>
  <c r="B52" i="31"/>
  <c r="I52" i="31" s="1"/>
  <c r="B26" i="61"/>
  <c r="I26" i="61" s="1"/>
  <c r="B29" i="7"/>
  <c r="I29" i="7" s="1"/>
  <c r="B26" i="62"/>
  <c r="I26" i="62" s="1"/>
  <c r="B29" i="54"/>
  <c r="I29" i="54" s="1"/>
  <c r="B35" i="37"/>
  <c r="I35" i="37" s="1"/>
  <c r="B35" i="74"/>
  <c r="I35" i="74" s="1"/>
  <c r="B28" i="71"/>
  <c r="I28" i="71" s="1"/>
  <c r="B28" i="30"/>
  <c r="I28" i="30" s="1"/>
  <c r="B25" i="19"/>
  <c r="I25" i="19" s="1"/>
  <c r="B23" i="48"/>
  <c r="I23" i="48" s="1"/>
  <c r="B25" i="18"/>
  <c r="I25" i="18" s="1"/>
  <c r="B28" i="5"/>
  <c r="I28" i="5" s="1"/>
  <c r="B25" i="34"/>
  <c r="I25" i="34" s="1"/>
  <c r="B25" i="20"/>
  <c r="I25" i="20" s="1"/>
  <c r="B28" i="4"/>
  <c r="I28" i="4" s="1"/>
  <c r="B24" i="44"/>
  <c r="I24" i="44" s="1"/>
  <c r="B28" i="3"/>
  <c r="I28" i="3" s="1"/>
  <c r="B28" i="6"/>
  <c r="I28" i="6" s="1"/>
  <c r="B25" i="17"/>
  <c r="I25" i="17" s="1"/>
  <c r="B25" i="33"/>
  <c r="I25" i="33" s="1"/>
  <c r="B25" i="70"/>
  <c r="I25" i="70" s="1"/>
  <c r="K31" i="70"/>
  <c r="E31" i="70"/>
  <c r="F31" i="70" s="1"/>
  <c r="G31" i="70" s="1"/>
  <c r="B47" i="34"/>
  <c r="I47" i="34" s="1"/>
  <c r="B47" i="70"/>
  <c r="I47" i="70" s="1"/>
  <c r="B47" i="20"/>
  <c r="I47" i="20" s="1"/>
  <c r="B47" i="17"/>
  <c r="I47" i="17" s="1"/>
  <c r="B47" i="19"/>
  <c r="I47" i="19" s="1"/>
  <c r="B47" i="62"/>
  <c r="I47" i="62" s="1"/>
  <c r="B45" i="48"/>
  <c r="I45" i="48" s="1"/>
  <c r="B47" i="56"/>
  <c r="B48" i="8"/>
  <c r="I48" i="8" s="1"/>
  <c r="B47" i="61"/>
  <c r="I47" i="61" s="1"/>
  <c r="B47" i="33"/>
  <c r="I47" i="33" s="1"/>
  <c r="B47" i="18"/>
  <c r="I47" i="18" s="1"/>
  <c r="B46" i="44"/>
  <c r="I46" i="44" s="1"/>
  <c r="B29" i="37"/>
  <c r="I29" i="37" s="1"/>
  <c r="B29" i="74"/>
  <c r="I29" i="74" s="1"/>
  <c r="B27" i="80"/>
  <c r="I27" i="80" s="1"/>
  <c r="B31" i="55"/>
  <c r="I31" i="55" s="1"/>
  <c r="B32" i="51"/>
  <c r="I32" i="51" s="1"/>
  <c r="B27" i="81"/>
  <c r="I27" i="81" s="1"/>
  <c r="B31" i="78"/>
  <c r="I31" i="78" s="1"/>
  <c r="B31" i="53"/>
  <c r="I31" i="53" s="1"/>
  <c r="B26" i="46"/>
  <c r="I26" i="46" s="1"/>
  <c r="B24" i="47"/>
  <c r="I24" i="47" s="1"/>
  <c r="B47" i="78"/>
  <c r="I47" i="78" s="1"/>
  <c r="B38" i="81"/>
  <c r="I38" i="81" s="1"/>
  <c r="B38" i="80"/>
  <c r="I38" i="80" s="1"/>
  <c r="B47" i="53"/>
  <c r="I47" i="53" s="1"/>
  <c r="B26" i="80"/>
  <c r="I26" i="80" s="1"/>
  <c r="B30" i="78"/>
  <c r="I30" i="78" s="1"/>
  <c r="B31" i="51"/>
  <c r="I31" i="51" s="1"/>
  <c r="B30" i="55"/>
  <c r="I30" i="55" s="1"/>
  <c r="B26" i="81"/>
  <c r="I26" i="81" s="1"/>
  <c r="B30" i="53"/>
  <c r="I30" i="53" s="1"/>
  <c r="B44" i="33"/>
  <c r="I44" i="33" s="1"/>
  <c r="B44" i="34"/>
  <c r="I44" i="34" s="1"/>
  <c r="B44" i="70"/>
  <c r="I44" i="70" s="1"/>
  <c r="B42" i="48"/>
  <c r="I42" i="48" s="1"/>
  <c r="B45" i="8"/>
  <c r="I45" i="8" s="1"/>
  <c r="B44" i="61"/>
  <c r="I44" i="61" s="1"/>
  <c r="B44" i="56"/>
  <c r="I44" i="56" s="1"/>
  <c r="B44" i="17"/>
  <c r="I44" i="17" s="1"/>
  <c r="B44" i="62"/>
  <c r="I44" i="62" s="1"/>
  <c r="B44" i="18"/>
  <c r="I44" i="18" s="1"/>
  <c r="B44" i="20"/>
  <c r="I44" i="20" s="1"/>
  <c r="B43" i="44"/>
  <c r="I43" i="44" s="1"/>
  <c r="B44" i="19"/>
  <c r="I44" i="19" s="1"/>
  <c r="B52" i="6"/>
  <c r="I52" i="6" s="1"/>
  <c r="B52" i="4"/>
  <c r="I52" i="4" s="1"/>
  <c r="B52" i="30"/>
  <c r="I52" i="30" s="1"/>
  <c r="B53" i="54"/>
  <c r="I53" i="54" s="1"/>
  <c r="B53" i="71"/>
  <c r="I53" i="71" s="1"/>
  <c r="B52" i="5"/>
  <c r="I52" i="5" s="1"/>
  <c r="B52" i="3"/>
  <c r="I52" i="3" s="1"/>
  <c r="B53" i="7"/>
  <c r="I53" i="7" s="1"/>
  <c r="B50" i="70"/>
  <c r="B47" i="47"/>
  <c r="B46" i="47"/>
  <c r="B27" i="58"/>
  <c r="I27" i="58" s="1"/>
  <c r="E36" i="55"/>
  <c r="F36" i="55" s="1"/>
  <c r="G36" i="55" s="1"/>
  <c r="B25" i="61"/>
  <c r="I25" i="61" s="1"/>
  <c r="B28" i="7"/>
  <c r="I28" i="7" s="1"/>
  <c r="B28" i="54"/>
  <c r="I28" i="54" s="1"/>
  <c r="B25" i="62"/>
  <c r="I25" i="62" s="1"/>
  <c r="B26" i="19"/>
  <c r="I26" i="19" s="1"/>
  <c r="B29" i="71"/>
  <c r="I29" i="71" s="1"/>
  <c r="B24" i="48"/>
  <c r="I24" i="48" s="1"/>
  <c r="B29" i="6"/>
  <c r="I29" i="6" s="1"/>
  <c r="B29" i="3"/>
  <c r="I29" i="3" s="1"/>
  <c r="B26" i="17"/>
  <c r="I26" i="17" s="1"/>
  <c r="B26" i="18"/>
  <c r="I26" i="18" s="1"/>
  <c r="B29" i="4"/>
  <c r="I29" i="4" s="1"/>
  <c r="B26" i="70"/>
  <c r="I26" i="70" s="1"/>
  <c r="B26" i="34"/>
  <c r="I26" i="34" s="1"/>
  <c r="B26" i="20"/>
  <c r="I26" i="20" s="1"/>
  <c r="B26" i="33"/>
  <c r="I26" i="33" s="1"/>
  <c r="B25" i="44"/>
  <c r="I25" i="44" s="1"/>
  <c r="B29" i="5"/>
  <c r="I29" i="5" s="1"/>
  <c r="B29" i="30"/>
  <c r="I29" i="30" s="1"/>
  <c r="C31" i="61"/>
  <c r="E31" i="61"/>
  <c r="F31" i="61" s="1"/>
  <c r="G31" i="61" s="1"/>
  <c r="J31" i="61"/>
  <c r="B32" i="80"/>
  <c r="I32" i="80" s="1"/>
  <c r="B36" i="53"/>
  <c r="I36" i="53" s="1"/>
  <c r="B25" i="48"/>
  <c r="I25" i="48" s="1"/>
  <c r="B27" i="33"/>
  <c r="I27" i="33" s="1"/>
  <c r="B26" i="44"/>
  <c r="I26" i="44" s="1"/>
  <c r="B28" i="8"/>
  <c r="I28" i="8" s="1"/>
  <c r="B30" i="4"/>
  <c r="I30" i="4" s="1"/>
  <c r="B30" i="31"/>
  <c r="I30" i="31" s="1"/>
  <c r="B27" i="56"/>
  <c r="I27" i="56" s="1"/>
  <c r="B27" i="20"/>
  <c r="I27" i="20" s="1"/>
  <c r="B27" i="17"/>
  <c r="I27" i="17" s="1"/>
  <c r="B30" i="71"/>
  <c r="I30" i="71" s="1"/>
  <c r="B27" i="34"/>
  <c r="I27" i="34" s="1"/>
  <c r="B27" i="18"/>
  <c r="I27" i="18" s="1"/>
  <c r="B27" i="19"/>
  <c r="I27" i="19" s="1"/>
  <c r="B30" i="30"/>
  <c r="I30" i="30" s="1"/>
  <c r="B30" i="3"/>
  <c r="I30" i="3" s="1"/>
  <c r="B30" i="5"/>
  <c r="I30" i="5" s="1"/>
  <c r="B30" i="6"/>
  <c r="I30" i="6" s="1"/>
  <c r="B27" i="70"/>
  <c r="I27" i="70" s="1"/>
  <c r="B46" i="34"/>
  <c r="I46" i="34" s="1"/>
  <c r="B45" i="44"/>
  <c r="I45" i="44" s="1"/>
  <c r="B46" i="70"/>
  <c r="I46" i="70" s="1"/>
  <c r="B46" i="61"/>
  <c r="I46" i="61" s="1"/>
  <c r="B46" i="20"/>
  <c r="I46" i="20" s="1"/>
  <c r="B46" i="19"/>
  <c r="I46" i="19" s="1"/>
  <c r="B46" i="18"/>
  <c r="I46" i="18" s="1"/>
  <c r="B47" i="8"/>
  <c r="I47" i="8" s="1"/>
  <c r="B44" i="48"/>
  <c r="I44" i="48" s="1"/>
  <c r="B46" i="17"/>
  <c r="I46" i="17" s="1"/>
  <c r="B46" i="56"/>
  <c r="I46" i="56" s="1"/>
  <c r="B46" i="62"/>
  <c r="I46" i="62" s="1"/>
  <c r="B46" i="33"/>
  <c r="I46" i="33" s="1"/>
  <c r="E34" i="5"/>
  <c r="F34" i="5" s="1"/>
  <c r="G34" i="5" s="1"/>
  <c r="K34" i="5"/>
  <c r="C34" i="5"/>
  <c r="C34" i="4"/>
  <c r="J34" i="4"/>
  <c r="E34" i="4"/>
  <c r="F34" i="4" s="1"/>
  <c r="G34" i="4" s="1"/>
  <c r="B46" i="8"/>
  <c r="I46" i="8" s="1"/>
  <c r="B45" i="70"/>
  <c r="I45" i="70" s="1"/>
  <c r="B45" i="33"/>
  <c r="I45" i="33" s="1"/>
  <c r="B45" i="61"/>
  <c r="I45" i="61" s="1"/>
  <c r="B45" i="20"/>
  <c r="I45" i="20" s="1"/>
  <c r="B44" i="44"/>
  <c r="I44" i="44" s="1"/>
  <c r="B45" i="56"/>
  <c r="I45" i="56" s="1"/>
  <c r="B45" i="34"/>
  <c r="I45" i="34" s="1"/>
  <c r="B45" i="17"/>
  <c r="I45" i="17" s="1"/>
  <c r="B45" i="62"/>
  <c r="I45" i="62" s="1"/>
  <c r="B43" i="48"/>
  <c r="I43" i="48" s="1"/>
  <c r="B45" i="18"/>
  <c r="I45" i="18" s="1"/>
  <c r="B45" i="19"/>
  <c r="I45" i="19" s="1"/>
  <c r="C34" i="3"/>
  <c r="E34" i="3"/>
  <c r="F34" i="3" s="1"/>
  <c r="G34" i="3" s="1"/>
  <c r="K34" i="3"/>
  <c r="B25" i="58"/>
  <c r="B44" i="58"/>
  <c r="B28" i="37"/>
  <c r="I28" i="37" s="1"/>
  <c r="B28" i="74"/>
  <c r="I28" i="74" s="1"/>
  <c r="B49" i="51"/>
  <c r="I49" i="51" s="1"/>
  <c r="B51" i="51"/>
  <c r="I51" i="51" s="1"/>
  <c r="B49" i="55"/>
  <c r="I49" i="55" s="1"/>
  <c r="B50" i="51"/>
  <c r="I50" i="51" s="1"/>
  <c r="B48" i="55"/>
  <c r="I48" i="55" s="1"/>
  <c r="B47" i="55"/>
  <c r="I47" i="55" s="1"/>
  <c r="C30" i="46"/>
  <c r="E30" i="46"/>
  <c r="F30" i="46" s="1"/>
  <c r="G30" i="46" s="1"/>
  <c r="J30" i="46"/>
  <c r="C31" i="62"/>
  <c r="E31" i="62"/>
  <c r="F31" i="62" s="1"/>
  <c r="G31" i="62" s="1"/>
  <c r="J31" i="62"/>
  <c r="C38" i="51"/>
  <c r="E38" i="51"/>
  <c r="F38" i="51" s="1"/>
  <c r="G38" i="51" s="1"/>
  <c r="J38" i="51"/>
  <c r="B25" i="46"/>
  <c r="I25" i="46" s="1"/>
  <c r="B23" i="47"/>
  <c r="I23" i="47" s="1"/>
  <c r="C34" i="6"/>
  <c r="E34" i="6"/>
  <c r="F34" i="6" s="1"/>
  <c r="G34" i="6" s="1"/>
  <c r="B38" i="71"/>
  <c r="I38" i="71" s="1"/>
  <c r="B38" i="6"/>
  <c r="I38" i="6" s="1"/>
  <c r="J34" i="7"/>
  <c r="B30" i="7"/>
  <c r="I30" i="7" s="1"/>
  <c r="B27" i="61"/>
  <c r="I27" i="61" s="1"/>
  <c r="B27" i="62"/>
  <c r="I27" i="62" s="1"/>
  <c r="B30" i="54"/>
  <c r="I30" i="54" s="1"/>
  <c r="B27" i="37"/>
  <c r="I27" i="37" s="1"/>
  <c r="B27" i="74"/>
  <c r="I27" i="74" s="1"/>
  <c r="C31" i="19"/>
  <c r="E31" i="19"/>
  <c r="F31" i="19" s="1"/>
  <c r="G31" i="19" s="1"/>
  <c r="K31" i="19"/>
  <c r="B32" i="81"/>
  <c r="I32" i="81" s="1"/>
  <c r="B36" i="78"/>
  <c r="I36" i="78" s="1"/>
  <c r="C34" i="30"/>
  <c r="E34" i="30"/>
  <c r="F34" i="30" s="1"/>
  <c r="G34" i="30" s="1"/>
  <c r="B50" i="34"/>
  <c r="B51" i="62"/>
  <c r="B51" i="19"/>
  <c r="B51" i="56"/>
  <c r="I51" i="56" s="1"/>
  <c r="B48" i="46"/>
  <c r="B48" i="48"/>
  <c r="B50" i="56"/>
  <c r="I50" i="56" s="1"/>
  <c r="B46" i="81"/>
  <c r="E3" i="44"/>
  <c r="E3" i="18"/>
  <c r="E3" i="70"/>
  <c r="E3" i="48"/>
  <c r="E3" i="33"/>
  <c r="E3" i="19"/>
  <c r="E3" i="20"/>
  <c r="E3" i="17"/>
  <c r="B47" i="80"/>
  <c r="B51" i="34"/>
  <c r="B49" i="48"/>
  <c r="B50" i="33"/>
  <c r="B50" i="62"/>
  <c r="B51" i="8"/>
  <c r="I51" i="8" s="1"/>
  <c r="B50" i="19"/>
  <c r="B46" i="80"/>
  <c r="B52" i="8"/>
  <c r="I52" i="8" s="1"/>
  <c r="B51" i="61"/>
  <c r="B50" i="58"/>
  <c r="B50" i="20"/>
  <c r="B49" i="44"/>
  <c r="B48" i="62"/>
  <c r="I48" i="62" s="1"/>
  <c r="B48" i="61"/>
  <c r="I48" i="61" s="1"/>
  <c r="B47" i="44"/>
  <c r="I47" i="44" s="1"/>
  <c r="B48" i="70"/>
  <c r="I48" i="70" s="1"/>
  <c r="B48" i="20"/>
  <c r="I48" i="20" s="1"/>
  <c r="B46" i="48"/>
  <c r="I46" i="48" s="1"/>
  <c r="B48" i="18"/>
  <c r="I48" i="18" s="1"/>
  <c r="B49" i="8"/>
  <c r="I49" i="8" s="1"/>
  <c r="B48" i="33"/>
  <c r="I48" i="33" s="1"/>
  <c r="B48" i="19"/>
  <c r="I48" i="19" s="1"/>
  <c r="B48" i="34"/>
  <c r="I48" i="34" s="1"/>
  <c r="B48" i="17"/>
  <c r="I48" i="17" s="1"/>
  <c r="B51" i="17"/>
  <c r="B45" i="80"/>
  <c r="I45" i="80" s="1"/>
  <c r="B48" i="44"/>
  <c r="I48" i="44" s="1"/>
  <c r="B49" i="19"/>
  <c r="I49" i="19" s="1"/>
  <c r="B47" i="46"/>
  <c r="I47" i="46" s="1"/>
  <c r="B49" i="56"/>
  <c r="I49" i="56" s="1"/>
  <c r="B47" i="48"/>
  <c r="I47" i="48" s="1"/>
  <c r="B49" i="34"/>
  <c r="I49" i="34" s="1"/>
  <c r="B49" i="70"/>
  <c r="I49" i="70" s="1"/>
  <c r="B49" i="20"/>
  <c r="I49" i="20" s="1"/>
  <c r="B45" i="81"/>
  <c r="I45" i="81" s="1"/>
  <c r="B49" i="61"/>
  <c r="I49" i="61" s="1"/>
  <c r="B49" i="33"/>
  <c r="I49" i="33" s="1"/>
  <c r="B49" i="18"/>
  <c r="I49" i="18" s="1"/>
  <c r="B50" i="8"/>
  <c r="I50" i="8" s="1"/>
  <c r="B45" i="47"/>
  <c r="I45" i="47" s="1"/>
  <c r="B49" i="58"/>
  <c r="I49" i="58" s="1"/>
  <c r="B49" i="17"/>
  <c r="I49" i="17" s="1"/>
  <c r="B49" i="62"/>
  <c r="I49" i="62" s="1"/>
  <c r="B49" i="81"/>
  <c r="I49" i="81" s="1"/>
  <c r="B51" i="48"/>
  <c r="I51" i="48" s="1"/>
  <c r="B53" i="19"/>
  <c r="I53" i="19" s="1"/>
  <c r="B54" i="8"/>
  <c r="I54" i="8" s="1"/>
  <c r="B49" i="80"/>
  <c r="I49" i="80" s="1"/>
  <c r="B53" i="62"/>
  <c r="I53" i="62" s="1"/>
  <c r="B53" i="33"/>
  <c r="I53" i="33" s="1"/>
  <c r="B53" i="18"/>
  <c r="I53" i="18" s="1"/>
  <c r="B53" i="61"/>
  <c r="I53" i="61" s="1"/>
  <c r="B53" i="34"/>
  <c r="I53" i="34" s="1"/>
  <c r="B53" i="56"/>
  <c r="I53" i="56" s="1"/>
  <c r="B52" i="44"/>
  <c r="I52" i="44" s="1"/>
  <c r="B53" i="70"/>
  <c r="I53" i="70" s="1"/>
  <c r="B53" i="20"/>
  <c r="I53" i="20" s="1"/>
  <c r="B53" i="58"/>
  <c r="I53" i="58" s="1"/>
  <c r="B53" i="17"/>
  <c r="I53" i="17" s="1"/>
  <c r="B50" i="81"/>
  <c r="I50" i="81" s="1"/>
  <c r="B54" i="70"/>
  <c r="I54" i="70" s="1"/>
  <c r="B54" i="58"/>
  <c r="I54" i="58" s="1"/>
  <c r="B54" i="33"/>
  <c r="I54" i="33" s="1"/>
  <c r="B54" i="20"/>
  <c r="I54" i="20" s="1"/>
  <c r="B54" i="62"/>
  <c r="I54" i="62" s="1"/>
  <c r="B50" i="80"/>
  <c r="I50" i="80" s="1"/>
  <c r="B54" i="56"/>
  <c r="I54" i="56" s="1"/>
  <c r="B54" i="34"/>
  <c r="I54" i="34" s="1"/>
  <c r="B54" i="61"/>
  <c r="I54" i="61" s="1"/>
  <c r="B54" i="19"/>
  <c r="I54" i="19" s="1"/>
  <c r="B54" i="17"/>
  <c r="I54" i="17" s="1"/>
  <c r="B55" i="8"/>
  <c r="I55" i="8" s="1"/>
  <c r="B52" i="48"/>
  <c r="I52" i="48" s="1"/>
  <c r="B54" i="18"/>
  <c r="I54" i="18" s="1"/>
  <c r="B53" i="44"/>
  <c r="I53" i="44" s="1"/>
  <c r="B51" i="70"/>
  <c r="I51" i="70" s="1"/>
  <c r="B50" i="44"/>
  <c r="I50" i="44" s="1"/>
  <c r="B51" i="20"/>
  <c r="I51" i="20" s="1"/>
  <c r="B47" i="81"/>
  <c r="I47" i="81" s="1"/>
  <c r="B51" i="58"/>
  <c r="I51" i="58" s="1"/>
  <c r="B49" i="46"/>
  <c r="I49" i="46" s="1"/>
  <c r="B52" i="34"/>
  <c r="I52" i="34" s="1"/>
  <c r="B52" i="70"/>
  <c r="I52" i="70" s="1"/>
  <c r="B52" i="61"/>
  <c r="I52" i="61" s="1"/>
  <c r="B52" i="58"/>
  <c r="I52" i="58" s="1"/>
  <c r="B48" i="80"/>
  <c r="I48" i="80" s="1"/>
  <c r="B52" i="19"/>
  <c r="I52" i="19" s="1"/>
  <c r="B50" i="48"/>
  <c r="I50" i="48" s="1"/>
  <c r="B51" i="44"/>
  <c r="I51" i="44" s="1"/>
  <c r="B53" i="8"/>
  <c r="I53" i="8" s="1"/>
  <c r="B52" i="33"/>
  <c r="I52" i="33" s="1"/>
  <c r="B52" i="62"/>
  <c r="I52" i="62" s="1"/>
  <c r="B52" i="20"/>
  <c r="I52" i="20" s="1"/>
  <c r="B52" i="18"/>
  <c r="I52" i="18" s="1"/>
  <c r="B48" i="81"/>
  <c r="I48" i="81" s="1"/>
  <c r="B52" i="56"/>
  <c r="I52" i="56" s="1"/>
  <c r="M13" i="7"/>
  <c r="M14" i="7" s="1"/>
  <c r="L14" i="7"/>
  <c r="L17" i="7" s="1"/>
  <c r="R29" i="5"/>
  <c r="R21" i="5"/>
  <c r="S21" i="5" s="1"/>
  <c r="T21" i="5" s="1"/>
  <c r="R26" i="5"/>
  <c r="R32" i="5"/>
  <c r="R24" i="5"/>
  <c r="S24" i="5" s="1"/>
  <c r="R30" i="5"/>
  <c r="S17" i="5"/>
  <c r="S9" i="5" s="1"/>
  <c r="R31" i="5"/>
  <c r="R25" i="5"/>
  <c r="S25" i="5" s="1"/>
  <c r="U25" i="5" s="1"/>
  <c r="R27" i="5"/>
  <c r="T17" i="5"/>
  <c r="T9" i="5" s="1"/>
  <c r="R22" i="5"/>
  <c r="S22" i="5" s="1"/>
  <c r="U22" i="5" s="1"/>
  <c r="M13" i="5"/>
  <c r="R28" i="5"/>
  <c r="R23" i="5"/>
  <c r="S23" i="5" s="1"/>
  <c r="V23" i="5" s="1"/>
  <c r="U17" i="5"/>
  <c r="U9" i="5" s="1"/>
  <c r="N13" i="6"/>
  <c r="N14" i="6" s="1"/>
  <c r="M14" i="6"/>
  <c r="M17" i="6" s="1"/>
  <c r="T26" i="71"/>
  <c r="V26" i="71"/>
  <c r="M26" i="71" s="1"/>
  <c r="V27" i="71"/>
  <c r="U27" i="71"/>
  <c r="T24" i="71"/>
  <c r="U24" i="71"/>
  <c r="M13" i="71"/>
  <c r="U30" i="71"/>
  <c r="T30" i="71"/>
  <c r="M13" i="4"/>
  <c r="O10" i="4" s="1"/>
  <c r="O11" i="4" s="1"/>
  <c r="R21" i="4"/>
  <c r="S21" i="4" s="1"/>
  <c r="T21" i="4" s="1"/>
  <c r="R24" i="4"/>
  <c r="R26" i="4"/>
  <c r="R29" i="4"/>
  <c r="S17" i="4"/>
  <c r="S9" i="4" s="1"/>
  <c r="R30" i="4"/>
  <c r="R32" i="4"/>
  <c r="R28" i="4"/>
  <c r="R23" i="4"/>
  <c r="S23" i="4" s="1"/>
  <c r="V23" i="4" s="1"/>
  <c r="U17" i="4"/>
  <c r="U9" i="4" s="1"/>
  <c r="T17" i="4"/>
  <c r="T9" i="4" s="1"/>
  <c r="R27" i="4"/>
  <c r="R25" i="4"/>
  <c r="R22" i="4"/>
  <c r="R31" i="4"/>
  <c r="T15" i="72"/>
  <c r="T9" i="72" s="1"/>
  <c r="Q29" i="72"/>
  <c r="Q24" i="72"/>
  <c r="R24" i="72" s="1"/>
  <c r="U24" i="72" s="1"/>
  <c r="Q32" i="72"/>
  <c r="Q28" i="72"/>
  <c r="S15" i="72"/>
  <c r="S9" i="72" s="1"/>
  <c r="Q23" i="72"/>
  <c r="R23" i="72" s="1"/>
  <c r="T23" i="72" s="1"/>
  <c r="Q26" i="72"/>
  <c r="R26" i="72" s="1"/>
  <c r="Q27" i="72"/>
  <c r="Q21" i="72"/>
  <c r="R21" i="72" s="1"/>
  <c r="S21" i="72" s="1"/>
  <c r="Q30" i="72"/>
  <c r="Q31" i="72"/>
  <c r="R15" i="72"/>
  <c r="R9" i="72" s="1"/>
  <c r="Q25" i="72"/>
  <c r="R25" i="72" s="1"/>
  <c r="S25" i="72" s="1"/>
  <c r="Q33" i="72"/>
  <c r="M12" i="51"/>
  <c r="L13" i="51" s="1"/>
  <c r="M13" i="51" s="1"/>
  <c r="M14" i="51" s="1"/>
  <c r="N7" i="51"/>
  <c r="N8" i="51" s="1"/>
  <c r="N10" i="51"/>
  <c r="N11" i="51" s="1"/>
  <c r="Q9" i="51"/>
  <c r="Q10" i="51" s="1"/>
  <c r="Q11" i="51" s="1"/>
  <c r="Q12" i="51" s="1"/>
  <c r="Q13" i="51" s="1"/>
  <c r="Q14" i="51" s="1"/>
  <c r="T8" i="51"/>
  <c r="R8" i="51"/>
  <c r="S8" i="51"/>
  <c r="R15" i="81"/>
  <c r="R9" i="81" s="1"/>
  <c r="Q19" i="81"/>
  <c r="R19" i="81" s="1"/>
  <c r="S19" i="81" s="1"/>
  <c r="Q31" i="81"/>
  <c r="Q22" i="81"/>
  <c r="Q24" i="81"/>
  <c r="Q29" i="81"/>
  <c r="Q27" i="81"/>
  <c r="T15" i="81"/>
  <c r="T9" i="81" s="1"/>
  <c r="Q21" i="81"/>
  <c r="Q26" i="81"/>
  <c r="Q20" i="81"/>
  <c r="Q23" i="81"/>
  <c r="Q25" i="81"/>
  <c r="Q30" i="81"/>
  <c r="S15" i="81"/>
  <c r="S9" i="81" s="1"/>
  <c r="U27" i="6"/>
  <c r="V27" i="6"/>
  <c r="M13" i="81"/>
  <c r="M14" i="81" s="1"/>
  <c r="L14" i="81"/>
  <c r="L15" i="81" s="1"/>
  <c r="T27" i="55"/>
  <c r="R28" i="55"/>
  <c r="R8" i="80"/>
  <c r="Q9" i="80"/>
  <c r="Q10" i="80" s="1"/>
  <c r="Q11" i="80" s="1"/>
  <c r="Q12" i="80" s="1"/>
  <c r="T8" i="80"/>
  <c r="S8" i="80"/>
  <c r="T26" i="6"/>
  <c r="V26" i="6"/>
  <c r="S26" i="7"/>
  <c r="U26" i="7"/>
  <c r="R27" i="7"/>
  <c r="R28" i="7" s="1"/>
  <c r="N10" i="80"/>
  <c r="N11" i="80" s="1"/>
  <c r="N7" i="80"/>
  <c r="N8" i="80" s="1"/>
  <c r="M12" i="80"/>
  <c r="M14" i="80" s="1"/>
  <c r="L14" i="80"/>
  <c r="L15" i="80" s="1"/>
  <c r="U31" i="30"/>
  <c r="M25" i="30" s="1"/>
  <c r="S32" i="30"/>
  <c r="R29" i="55"/>
  <c r="S28" i="6"/>
  <c r="V28" i="6" s="1"/>
  <c r="R27" i="72"/>
  <c r="S26" i="5"/>
  <c r="U17" i="3"/>
  <c r="U9" i="3" s="1"/>
  <c r="R23" i="3"/>
  <c r="R28" i="3"/>
  <c r="N13" i="3"/>
  <c r="N14" i="3" s="1"/>
  <c r="M14" i="3"/>
  <c r="M17" i="3" s="1"/>
  <c r="T17" i="3"/>
  <c r="T9" i="3" s="1"/>
  <c r="R27" i="3"/>
  <c r="R22" i="3"/>
  <c r="R25" i="3"/>
  <c r="R31" i="3"/>
  <c r="R29" i="3"/>
  <c r="S17" i="3"/>
  <c r="S9" i="3" s="1"/>
  <c r="R32" i="3"/>
  <c r="R26" i="3"/>
  <c r="R30" i="3"/>
  <c r="R21" i="3"/>
  <c r="S21" i="3" s="1"/>
  <c r="T21" i="3" s="1"/>
  <c r="R24" i="3"/>
  <c r="Q27" i="54"/>
  <c r="S17" i="54"/>
  <c r="S9" i="54" s="1"/>
  <c r="Q25" i="54"/>
  <c r="R25" i="54" s="1"/>
  <c r="T25" i="54" s="1"/>
  <c r="Q22" i="54"/>
  <c r="R22" i="54" s="1"/>
  <c r="T22" i="54" s="1"/>
  <c r="Q32" i="54"/>
  <c r="L13" i="54"/>
  <c r="Q28" i="54"/>
  <c r="T17" i="54"/>
  <c r="T9" i="54" s="1"/>
  <c r="Q23" i="54"/>
  <c r="R23" i="54" s="1"/>
  <c r="U23" i="54" s="1"/>
  <c r="Q24" i="54"/>
  <c r="R24" i="54" s="1"/>
  <c r="Q31" i="54"/>
  <c r="Q29" i="54"/>
  <c r="R17" i="54"/>
  <c r="R9" i="54" s="1"/>
  <c r="Q26" i="54"/>
  <c r="Q21" i="54"/>
  <c r="R21" i="54" s="1"/>
  <c r="S21" i="54" s="1"/>
  <c r="Q43" i="54"/>
  <c r="T8" i="78"/>
  <c r="Q9" i="78"/>
  <c r="Q10" i="78" s="1"/>
  <c r="Q11" i="78" s="1"/>
  <c r="Q12" i="78" s="1"/>
  <c r="Q13" i="78" s="1"/>
  <c r="Q18" i="78" s="1"/>
  <c r="S8" i="78"/>
  <c r="R8" i="78"/>
  <c r="M13" i="31"/>
  <c r="N13" i="31" s="1"/>
  <c r="N14" i="31" s="1"/>
  <c r="T8" i="31"/>
  <c r="U8" i="31"/>
  <c r="R9" i="31"/>
  <c r="R10" i="31" s="1"/>
  <c r="R11" i="31" s="1"/>
  <c r="R12" i="31" s="1"/>
  <c r="R13" i="31" s="1"/>
  <c r="R14" i="31" s="1"/>
  <c r="S8" i="31"/>
  <c r="O7" i="31"/>
  <c r="O8" i="31" s="1"/>
  <c r="O10" i="31"/>
  <c r="O11" i="31" s="1"/>
  <c r="Q27" i="53"/>
  <c r="Q29" i="53"/>
  <c r="Q34" i="53"/>
  <c r="Q24" i="53"/>
  <c r="S19" i="53"/>
  <c r="S9" i="53" s="1"/>
  <c r="Q23" i="53"/>
  <c r="R23" i="53" s="1"/>
  <c r="S23" i="53" s="1"/>
  <c r="Q33" i="53"/>
  <c r="Q31" i="53"/>
  <c r="Q35" i="53"/>
  <c r="Q28" i="53"/>
  <c r="Q26" i="53"/>
  <c r="R19" i="53"/>
  <c r="R9" i="53" s="1"/>
  <c r="Q25" i="53"/>
  <c r="Q30" i="53"/>
  <c r="T19" i="53"/>
  <c r="T9" i="53" s="1"/>
  <c r="L13" i="53"/>
  <c r="S22" i="4" l="1"/>
  <c r="I33" i="31"/>
  <c r="K33" i="31"/>
  <c r="E30" i="44"/>
  <c r="F30" i="44" s="1"/>
  <c r="G30" i="44" s="1"/>
  <c r="J30" i="44"/>
  <c r="C30" i="44"/>
  <c r="C31" i="70"/>
  <c r="J31" i="20"/>
  <c r="C36" i="55"/>
  <c r="J36" i="55"/>
  <c r="C34" i="7"/>
  <c r="E34" i="7"/>
  <c r="F34" i="7" s="1"/>
  <c r="G34" i="7" s="1"/>
  <c r="K34" i="6"/>
  <c r="C50" i="20"/>
  <c r="I50" i="20"/>
  <c r="E46" i="80"/>
  <c r="F46" i="80" s="1"/>
  <c r="G46" i="80" s="1"/>
  <c r="I46" i="80"/>
  <c r="C50" i="33"/>
  <c r="I50" i="33"/>
  <c r="C46" i="81"/>
  <c r="I46" i="81"/>
  <c r="C44" i="58"/>
  <c r="I44" i="58"/>
  <c r="E50" i="70"/>
  <c r="F50" i="70" s="1"/>
  <c r="G50" i="70" s="1"/>
  <c r="I50" i="70"/>
  <c r="E50" i="18"/>
  <c r="F50" i="18" s="1"/>
  <c r="I50" i="18"/>
  <c r="C50" i="17"/>
  <c r="I50" i="17"/>
  <c r="C47" i="58"/>
  <c r="I47" i="58"/>
  <c r="J31" i="58"/>
  <c r="I31" i="58"/>
  <c r="J34" i="72"/>
  <c r="I34" i="72"/>
  <c r="C38" i="72"/>
  <c r="I38" i="72"/>
  <c r="J32" i="8"/>
  <c r="I32" i="8"/>
  <c r="E52" i="85"/>
  <c r="F52" i="85" s="1"/>
  <c r="G52" i="85" s="1"/>
  <c r="I52" i="85"/>
  <c r="K29" i="85"/>
  <c r="I29" i="85"/>
  <c r="E50" i="58"/>
  <c r="F50" i="58" s="1"/>
  <c r="G50" i="58" s="1"/>
  <c r="I50" i="58"/>
  <c r="C50" i="19"/>
  <c r="I50" i="19"/>
  <c r="C49" i="48"/>
  <c r="I49" i="48"/>
  <c r="E51" i="19"/>
  <c r="F51" i="19" s="1"/>
  <c r="G51" i="19" s="1"/>
  <c r="I51" i="19"/>
  <c r="C25" i="58"/>
  <c r="I25" i="58"/>
  <c r="E45" i="58"/>
  <c r="F45" i="58" s="1"/>
  <c r="G45" i="58" s="1"/>
  <c r="I45" i="58"/>
  <c r="E51" i="33"/>
  <c r="F51" i="33" s="1"/>
  <c r="G51" i="33" s="1"/>
  <c r="I51" i="33"/>
  <c r="E51" i="18"/>
  <c r="F51" i="18" s="1"/>
  <c r="G51" i="18" s="1"/>
  <c r="I51" i="18"/>
  <c r="C31" i="17"/>
  <c r="I31" i="17"/>
  <c r="K31" i="18"/>
  <c r="I31" i="18"/>
  <c r="C34" i="71"/>
  <c r="I34" i="71"/>
  <c r="C34" i="31"/>
  <c r="I34" i="31"/>
  <c r="J39" i="72"/>
  <c r="I39" i="72"/>
  <c r="E30" i="56"/>
  <c r="F30" i="56" s="1"/>
  <c r="G30" i="56" s="1"/>
  <c r="I30" i="56"/>
  <c r="J31" i="8"/>
  <c r="I31" i="8"/>
  <c r="K34" i="4"/>
  <c r="I34" i="4"/>
  <c r="E51" i="17"/>
  <c r="F51" i="17" s="1"/>
  <c r="G51" i="17" s="1"/>
  <c r="I51" i="17"/>
  <c r="C51" i="61"/>
  <c r="I51" i="61"/>
  <c r="E51" i="34"/>
  <c r="F51" i="34" s="1"/>
  <c r="G51" i="34" s="1"/>
  <c r="I51" i="34"/>
  <c r="C48" i="48"/>
  <c r="I48" i="48"/>
  <c r="C51" i="62"/>
  <c r="I51" i="62"/>
  <c r="E46" i="47"/>
  <c r="F46" i="47" s="1"/>
  <c r="G46" i="47" s="1"/>
  <c r="I46" i="47"/>
  <c r="C50" i="61"/>
  <c r="I50" i="61"/>
  <c r="C48" i="58"/>
  <c r="I48" i="58"/>
  <c r="E46" i="58"/>
  <c r="F46" i="58" s="1"/>
  <c r="G46" i="58" s="1"/>
  <c r="I46" i="58"/>
  <c r="C31" i="33"/>
  <c r="I31" i="33"/>
  <c r="C28" i="31"/>
  <c r="I28" i="31"/>
  <c r="C37" i="72"/>
  <c r="I37" i="72"/>
  <c r="K31" i="56"/>
  <c r="I31" i="56"/>
  <c r="E28" i="85"/>
  <c r="F28" i="85" s="1"/>
  <c r="G28" i="85" s="1"/>
  <c r="I28" i="85"/>
  <c r="C30" i="85"/>
  <c r="I30" i="85"/>
  <c r="C51" i="85"/>
  <c r="I51" i="85"/>
  <c r="J34" i="30"/>
  <c r="I34" i="30"/>
  <c r="E34" i="54"/>
  <c r="F34" i="54" s="1"/>
  <c r="G34" i="54" s="1"/>
  <c r="I34" i="54"/>
  <c r="E49" i="44"/>
  <c r="F49" i="44" s="1"/>
  <c r="G49" i="44" s="1"/>
  <c r="I49" i="44"/>
  <c r="E50" i="62"/>
  <c r="F50" i="62" s="1"/>
  <c r="I50" i="62"/>
  <c r="E47" i="80"/>
  <c r="F47" i="80" s="1"/>
  <c r="G47" i="80" s="1"/>
  <c r="I47" i="80"/>
  <c r="E48" i="46"/>
  <c r="F48" i="46" s="1"/>
  <c r="I48" i="46"/>
  <c r="E50" i="34"/>
  <c r="F50" i="34" s="1"/>
  <c r="G50" i="34" s="1"/>
  <c r="I50" i="34"/>
  <c r="C47" i="47"/>
  <c r="I47" i="47"/>
  <c r="C47" i="56"/>
  <c r="I47" i="56"/>
  <c r="C31" i="34"/>
  <c r="I31" i="34"/>
  <c r="C52" i="17"/>
  <c r="I52" i="17"/>
  <c r="C25" i="56"/>
  <c r="I25" i="56"/>
  <c r="C26" i="8"/>
  <c r="I26" i="8"/>
  <c r="J35" i="72"/>
  <c r="I35" i="72"/>
  <c r="K30" i="85"/>
  <c r="J28" i="85"/>
  <c r="E30" i="85"/>
  <c r="F30" i="85" s="1"/>
  <c r="G30" i="85" s="1"/>
  <c r="K28" i="85"/>
  <c r="J30" i="85"/>
  <c r="J29" i="85"/>
  <c r="E53" i="86"/>
  <c r="F53" i="86" s="1"/>
  <c r="G53" i="86" s="1"/>
  <c r="C53" i="86"/>
  <c r="K29" i="86"/>
  <c r="E29" i="86"/>
  <c r="F29" i="86" s="1"/>
  <c r="G29" i="86" s="1"/>
  <c r="C29" i="86"/>
  <c r="C28" i="86"/>
  <c r="E28" i="86"/>
  <c r="D28" i="86"/>
  <c r="K28" i="86" s="1"/>
  <c r="E30" i="86"/>
  <c r="F30" i="86" s="1"/>
  <c r="G30" i="86" s="1"/>
  <c r="C30" i="86"/>
  <c r="K30" i="86"/>
  <c r="C52" i="86"/>
  <c r="E52" i="86"/>
  <c r="F52" i="86" s="1"/>
  <c r="G52" i="86" s="1"/>
  <c r="B38" i="86"/>
  <c r="I38" i="86" s="1"/>
  <c r="B36" i="86"/>
  <c r="I36" i="86" s="1"/>
  <c r="M30" i="86"/>
  <c r="N29" i="86"/>
  <c r="E34" i="85"/>
  <c r="F34" i="85" s="1"/>
  <c r="G34" i="85" s="1"/>
  <c r="K34" i="85"/>
  <c r="C34" i="85"/>
  <c r="J34" i="85"/>
  <c r="D38" i="85"/>
  <c r="D36" i="85"/>
  <c r="E38" i="85"/>
  <c r="F38" i="85" s="1"/>
  <c r="G38" i="85" s="1"/>
  <c r="C38" i="85"/>
  <c r="E36" i="85"/>
  <c r="C36" i="85"/>
  <c r="E39" i="85"/>
  <c r="B37" i="85"/>
  <c r="I37" i="85" s="1"/>
  <c r="B39" i="85"/>
  <c r="I39" i="85" s="1"/>
  <c r="C37" i="85"/>
  <c r="E37" i="85"/>
  <c r="C39" i="85"/>
  <c r="N30" i="85"/>
  <c r="E31" i="8"/>
  <c r="F31" i="8" s="1"/>
  <c r="G31" i="8" s="1"/>
  <c r="C31" i="8"/>
  <c r="T25" i="72"/>
  <c r="E52" i="8"/>
  <c r="F52" i="8" s="1"/>
  <c r="G52" i="8" s="1"/>
  <c r="C52" i="8"/>
  <c r="E51" i="8"/>
  <c r="F51" i="8" s="1"/>
  <c r="G51" i="8" s="1"/>
  <c r="C51" i="8"/>
  <c r="E50" i="8"/>
  <c r="F50" i="8" s="1"/>
  <c r="G50" i="8" s="1"/>
  <c r="C50" i="8"/>
  <c r="C32" i="8"/>
  <c r="E32" i="8"/>
  <c r="F32" i="8" s="1"/>
  <c r="G32" i="8" s="1"/>
  <c r="E27" i="8"/>
  <c r="F27" i="8" s="1"/>
  <c r="G27" i="8" s="1"/>
  <c r="C27" i="8"/>
  <c r="E28" i="8"/>
  <c r="F28" i="8" s="1"/>
  <c r="G28" i="8" s="1"/>
  <c r="C28" i="8"/>
  <c r="E51" i="56"/>
  <c r="F51" i="56" s="1"/>
  <c r="G51" i="56" s="1"/>
  <c r="C51" i="56"/>
  <c r="E50" i="56"/>
  <c r="F50" i="56" s="1"/>
  <c r="G50" i="56" s="1"/>
  <c r="C50" i="56"/>
  <c r="E49" i="56"/>
  <c r="F49" i="56" s="1"/>
  <c r="G49" i="56" s="1"/>
  <c r="C49" i="56"/>
  <c r="C35" i="72"/>
  <c r="E35" i="72"/>
  <c r="F35" i="72" s="1"/>
  <c r="G35" i="72" s="1"/>
  <c r="E27" i="56"/>
  <c r="F27" i="56" s="1"/>
  <c r="G27" i="56" s="1"/>
  <c r="C27" i="56"/>
  <c r="E37" i="72"/>
  <c r="E31" i="56"/>
  <c r="F31" i="56" s="1"/>
  <c r="G31" i="56" s="1"/>
  <c r="C31" i="56"/>
  <c r="E26" i="56"/>
  <c r="F26" i="56" s="1"/>
  <c r="G26" i="56" s="1"/>
  <c r="C26" i="56"/>
  <c r="C39" i="72"/>
  <c r="E34" i="31"/>
  <c r="F34" i="31" s="1"/>
  <c r="G34" i="31" s="1"/>
  <c r="E39" i="72"/>
  <c r="F39" i="72" s="1"/>
  <c r="G39" i="72" s="1"/>
  <c r="E38" i="72"/>
  <c r="E31" i="72"/>
  <c r="C31" i="72"/>
  <c r="C53" i="31"/>
  <c r="E53" i="31"/>
  <c r="F53" i="31" s="1"/>
  <c r="G53" i="31" s="1"/>
  <c r="E31" i="33"/>
  <c r="F31" i="33" s="1"/>
  <c r="G31" i="33" s="1"/>
  <c r="C29" i="31"/>
  <c r="E29" i="31"/>
  <c r="F29" i="31" s="1"/>
  <c r="G29" i="31" s="1"/>
  <c r="E30" i="31"/>
  <c r="F30" i="31" s="1"/>
  <c r="G30" i="31" s="1"/>
  <c r="C30" i="31"/>
  <c r="E47" i="47"/>
  <c r="F47" i="47" s="1"/>
  <c r="G47" i="47" s="1"/>
  <c r="E50" i="61"/>
  <c r="F50" i="61" s="1"/>
  <c r="G50" i="61" s="1"/>
  <c r="J31" i="33"/>
  <c r="G22" i="48"/>
  <c r="A4" i="33"/>
  <c r="E34" i="71"/>
  <c r="F34" i="71" s="1"/>
  <c r="G34" i="71" s="1"/>
  <c r="K34" i="71"/>
  <c r="A4" i="17"/>
  <c r="A4" i="48"/>
  <c r="A4" i="20"/>
  <c r="A4" i="44"/>
  <c r="E25" i="58"/>
  <c r="F25" i="58" s="1"/>
  <c r="G25" i="58" s="1"/>
  <c r="G8" i="70"/>
  <c r="A4" i="70"/>
  <c r="G9" i="44"/>
  <c r="A4" i="18"/>
  <c r="E47" i="58"/>
  <c r="F47" i="58" s="1"/>
  <c r="G47" i="58" s="1"/>
  <c r="C31" i="58"/>
  <c r="E31" i="58"/>
  <c r="F31" i="58" s="1"/>
  <c r="G31" i="58" s="1"/>
  <c r="E51" i="62"/>
  <c r="F51" i="62" s="1"/>
  <c r="G51" i="62" s="1"/>
  <c r="J25" i="58"/>
  <c r="G23" i="44"/>
  <c r="E48" i="48"/>
  <c r="F48" i="48" s="1"/>
  <c r="G48" i="48" s="1"/>
  <c r="G24" i="20"/>
  <c r="E31" i="18"/>
  <c r="F31" i="18" s="1"/>
  <c r="G31" i="18" s="1"/>
  <c r="C31" i="18"/>
  <c r="G24" i="17"/>
  <c r="G24" i="33"/>
  <c r="G24" i="70"/>
  <c r="G24" i="18"/>
  <c r="G22" i="17"/>
  <c r="C50" i="18"/>
  <c r="C46" i="58"/>
  <c r="G8" i="34"/>
  <c r="E50" i="19"/>
  <c r="F50" i="19" s="1"/>
  <c r="G50" i="19" s="1"/>
  <c r="E49" i="48"/>
  <c r="F49" i="48" s="1"/>
  <c r="G49" i="48" s="1"/>
  <c r="A21" i="48"/>
  <c r="G22" i="19"/>
  <c r="A23" i="19"/>
  <c r="G8" i="47"/>
  <c r="G8" i="61"/>
  <c r="G8" i="48"/>
  <c r="G8" i="33"/>
  <c r="G8" i="17"/>
  <c r="G9" i="46"/>
  <c r="G8" i="62"/>
  <c r="G8" i="19"/>
  <c r="G8" i="20"/>
  <c r="G22" i="70"/>
  <c r="G20" i="48"/>
  <c r="C47" i="80"/>
  <c r="E52" i="17"/>
  <c r="F52" i="17" s="1"/>
  <c r="G52" i="17" s="1"/>
  <c r="G22" i="18"/>
  <c r="G22" i="20"/>
  <c r="G21" i="44"/>
  <c r="C49" i="44"/>
  <c r="A23" i="70"/>
  <c r="A23" i="17"/>
  <c r="E31" i="17"/>
  <c r="F31" i="17" s="1"/>
  <c r="G31" i="17" s="1"/>
  <c r="C51" i="18"/>
  <c r="J31" i="34"/>
  <c r="A23" i="18"/>
  <c r="A23" i="33"/>
  <c r="A22" i="44"/>
  <c r="J31" i="17"/>
  <c r="C46" i="80"/>
  <c r="E46" i="81"/>
  <c r="F46" i="81" s="1"/>
  <c r="G46" i="81" s="1"/>
  <c r="E48" i="58"/>
  <c r="F48" i="58" s="1"/>
  <c r="G48" i="58" s="1"/>
  <c r="C50" i="58"/>
  <c r="C30" i="56"/>
  <c r="E50" i="17"/>
  <c r="F50" i="17" s="1"/>
  <c r="G50" i="17" s="1"/>
  <c r="E31" i="34"/>
  <c r="F31" i="34" s="1"/>
  <c r="G31" i="34" s="1"/>
  <c r="C48" i="46"/>
  <c r="E50" i="33"/>
  <c r="F50" i="33" s="1"/>
  <c r="G50" i="33" s="1"/>
  <c r="D27" i="6"/>
  <c r="D27" i="71"/>
  <c r="E27" i="71"/>
  <c r="E27" i="6"/>
  <c r="E23" i="44"/>
  <c r="E24" i="18"/>
  <c r="E24" i="19"/>
  <c r="E24" i="20"/>
  <c r="E22" i="48"/>
  <c r="E24" i="17"/>
  <c r="E24" i="70"/>
  <c r="E24" i="33"/>
  <c r="D24" i="70"/>
  <c r="D24" i="19"/>
  <c r="D24" i="33"/>
  <c r="D23" i="44"/>
  <c r="D24" i="20"/>
  <c r="D24" i="18"/>
  <c r="D22" i="48"/>
  <c r="D24" i="17"/>
  <c r="B5" i="20"/>
  <c r="B5" i="19"/>
  <c r="B5" i="44"/>
  <c r="B5" i="33"/>
  <c r="B5" i="48"/>
  <c r="B5" i="70"/>
  <c r="C50" i="70"/>
  <c r="C50" i="34"/>
  <c r="D3" i="19"/>
  <c r="D3" i="70"/>
  <c r="C46" i="47"/>
  <c r="D3" i="17"/>
  <c r="D3" i="20"/>
  <c r="D3" i="44"/>
  <c r="D3" i="33"/>
  <c r="C51" i="33"/>
  <c r="D3" i="18"/>
  <c r="E51" i="61"/>
  <c r="F51" i="61" s="1"/>
  <c r="G51" i="61" s="1"/>
  <c r="C51" i="34"/>
  <c r="C51" i="19"/>
  <c r="K34" i="31"/>
  <c r="C45" i="58"/>
  <c r="E27" i="62"/>
  <c r="F27" i="62" s="1"/>
  <c r="G27" i="62" s="1"/>
  <c r="C27" i="62"/>
  <c r="J27" i="62"/>
  <c r="C25" i="46"/>
  <c r="J25" i="46"/>
  <c r="E25" i="46"/>
  <c r="F25" i="46" s="1"/>
  <c r="G25" i="46" s="1"/>
  <c r="C47" i="55"/>
  <c r="E47" i="55"/>
  <c r="F47" i="55" s="1"/>
  <c r="G47" i="55" s="1"/>
  <c r="E51" i="51"/>
  <c r="F51" i="51" s="1"/>
  <c r="G51" i="51" s="1"/>
  <c r="C51" i="51"/>
  <c r="C45" i="62"/>
  <c r="E45" i="62"/>
  <c r="F45" i="62" s="1"/>
  <c r="G45" i="62" s="1"/>
  <c r="C44" i="44"/>
  <c r="E44" i="44"/>
  <c r="F44" i="44" s="1"/>
  <c r="G44" i="44" s="1"/>
  <c r="C45" i="70"/>
  <c r="E45" i="70"/>
  <c r="F45" i="70" s="1"/>
  <c r="G45" i="70" s="1"/>
  <c r="C46" i="17"/>
  <c r="E46" i="17"/>
  <c r="F46" i="17" s="1"/>
  <c r="G46" i="17" s="1"/>
  <c r="C46" i="19"/>
  <c r="E46" i="19"/>
  <c r="F46" i="19" s="1"/>
  <c r="G46" i="19" s="1"/>
  <c r="C45" i="44"/>
  <c r="E45" i="44"/>
  <c r="F45" i="44" s="1"/>
  <c r="G45" i="44" s="1"/>
  <c r="C30" i="5"/>
  <c r="K30" i="5"/>
  <c r="E30" i="5"/>
  <c r="F30" i="5" s="1"/>
  <c r="G30" i="5" s="1"/>
  <c r="E27" i="19"/>
  <c r="F27" i="19" s="1"/>
  <c r="G27" i="19" s="1"/>
  <c r="C27" i="19"/>
  <c r="K27" i="19"/>
  <c r="C27" i="17"/>
  <c r="E27" i="17"/>
  <c r="F27" i="17" s="1"/>
  <c r="G27" i="17" s="1"/>
  <c r="J27" i="17"/>
  <c r="E30" i="4"/>
  <c r="F30" i="4" s="1"/>
  <c r="G30" i="4" s="1"/>
  <c r="C30" i="4"/>
  <c r="J30" i="4"/>
  <c r="K30" i="4"/>
  <c r="J25" i="48"/>
  <c r="E25" i="48"/>
  <c r="F25" i="48" s="1"/>
  <c r="G25" i="48" s="1"/>
  <c r="C25" i="48"/>
  <c r="K29" i="5"/>
  <c r="E29" i="5"/>
  <c r="F29" i="5" s="1"/>
  <c r="G29" i="5" s="1"/>
  <c r="C29" i="5"/>
  <c r="K26" i="56"/>
  <c r="E29" i="4"/>
  <c r="F29" i="4" s="1"/>
  <c r="G29" i="4" s="1"/>
  <c r="K29" i="4"/>
  <c r="C29" i="4"/>
  <c r="J29" i="4"/>
  <c r="C29" i="3"/>
  <c r="K29" i="3"/>
  <c r="E29" i="3"/>
  <c r="F29" i="3" s="1"/>
  <c r="G29" i="3" s="1"/>
  <c r="K26" i="19"/>
  <c r="E26" i="19"/>
  <c r="F26" i="19" s="1"/>
  <c r="G26" i="19" s="1"/>
  <c r="C26" i="19"/>
  <c r="J28" i="7"/>
  <c r="E28" i="7"/>
  <c r="F28" i="7" s="1"/>
  <c r="G28" i="7" s="1"/>
  <c r="C28" i="7"/>
  <c r="C53" i="71"/>
  <c r="E53" i="71"/>
  <c r="F53" i="71" s="1"/>
  <c r="G53" i="71" s="1"/>
  <c r="C52" i="4"/>
  <c r="E52" i="4"/>
  <c r="F52" i="4" s="1"/>
  <c r="G52" i="4" s="1"/>
  <c r="C44" i="20"/>
  <c r="E44" i="20"/>
  <c r="F44" i="20" s="1"/>
  <c r="G44" i="20" s="1"/>
  <c r="C44" i="56"/>
  <c r="E44" i="56"/>
  <c r="F44" i="56" s="1"/>
  <c r="G44" i="56" s="1"/>
  <c r="C44" i="70"/>
  <c r="E44" i="70"/>
  <c r="F44" i="70" s="1"/>
  <c r="G44" i="70" s="1"/>
  <c r="J26" i="81"/>
  <c r="C26" i="81"/>
  <c r="E26" i="81"/>
  <c r="F26" i="81" s="1"/>
  <c r="G26" i="81" s="1"/>
  <c r="J26" i="80"/>
  <c r="E26" i="80"/>
  <c r="F26" i="80" s="1"/>
  <c r="G26" i="80" s="1"/>
  <c r="C26" i="80"/>
  <c r="C47" i="78"/>
  <c r="E47" i="78"/>
  <c r="F47" i="78" s="1"/>
  <c r="G47" i="78" s="1"/>
  <c r="C33" i="31"/>
  <c r="E33" i="31"/>
  <c r="F33" i="31" s="1"/>
  <c r="G33" i="31" s="1"/>
  <c r="C32" i="51"/>
  <c r="E32" i="51"/>
  <c r="F32" i="51" s="1"/>
  <c r="G32" i="51" s="1"/>
  <c r="J32" i="51"/>
  <c r="J29" i="37"/>
  <c r="C29" i="37"/>
  <c r="E29" i="37"/>
  <c r="F29" i="37" s="1"/>
  <c r="G29" i="37" s="1"/>
  <c r="C47" i="61"/>
  <c r="E47" i="61"/>
  <c r="F47" i="61" s="1"/>
  <c r="G47" i="61" s="1"/>
  <c r="C47" i="62"/>
  <c r="E47" i="62"/>
  <c r="F47" i="62" s="1"/>
  <c r="G47" i="62" s="1"/>
  <c r="C47" i="70"/>
  <c r="E47" i="70"/>
  <c r="F47" i="70" s="1"/>
  <c r="G47" i="70" s="1"/>
  <c r="C25" i="17"/>
  <c r="D25" i="17"/>
  <c r="J25" i="17" s="1"/>
  <c r="E25" i="17"/>
  <c r="K28" i="3"/>
  <c r="C28" i="3"/>
  <c r="E28" i="3"/>
  <c r="F28" i="3" s="1"/>
  <c r="G28" i="3" s="1"/>
  <c r="J25" i="20"/>
  <c r="E25" i="20"/>
  <c r="F25" i="20" s="1"/>
  <c r="G25" i="20" s="1"/>
  <c r="C25" i="20"/>
  <c r="J23" i="48"/>
  <c r="C23" i="48"/>
  <c r="E23" i="48"/>
  <c r="F23" i="48" s="1"/>
  <c r="G23" i="48" s="1"/>
  <c r="E35" i="74"/>
  <c r="F35" i="74" s="1"/>
  <c r="G35" i="74" s="1"/>
  <c r="J35" i="74"/>
  <c r="C35" i="74"/>
  <c r="J29" i="7"/>
  <c r="C29" i="7"/>
  <c r="E29" i="7"/>
  <c r="F29" i="7" s="1"/>
  <c r="G29" i="7" s="1"/>
  <c r="E52" i="7"/>
  <c r="F52" i="7" s="1"/>
  <c r="G52" i="7" s="1"/>
  <c r="C52" i="7"/>
  <c r="C52" i="71"/>
  <c r="E52" i="71"/>
  <c r="F52" i="71" s="1"/>
  <c r="G52" i="71" s="1"/>
  <c r="J34" i="37"/>
  <c r="C34" i="37"/>
  <c r="E34" i="37"/>
  <c r="F34" i="37" s="1"/>
  <c r="G34" i="37" s="1"/>
  <c r="C48" i="78"/>
  <c r="E48" i="78"/>
  <c r="F48" i="78" s="1"/>
  <c r="G48" i="78" s="1"/>
  <c r="C36" i="78"/>
  <c r="J36" i="78"/>
  <c r="E36" i="78"/>
  <c r="F36" i="78" s="1"/>
  <c r="G36" i="78" s="1"/>
  <c r="C27" i="61"/>
  <c r="J27" i="61"/>
  <c r="E27" i="61"/>
  <c r="F27" i="61" s="1"/>
  <c r="G27" i="61" s="1"/>
  <c r="E48" i="55"/>
  <c r="F48" i="55" s="1"/>
  <c r="G48" i="55" s="1"/>
  <c r="C48" i="55"/>
  <c r="C49" i="51"/>
  <c r="E49" i="51"/>
  <c r="F49" i="51" s="1"/>
  <c r="G49" i="51" s="1"/>
  <c r="C45" i="19"/>
  <c r="E45" i="19"/>
  <c r="F45" i="19" s="1"/>
  <c r="G45" i="19" s="1"/>
  <c r="E45" i="17"/>
  <c r="F45" i="17" s="1"/>
  <c r="G45" i="17" s="1"/>
  <c r="C45" i="17"/>
  <c r="C45" i="20"/>
  <c r="E45" i="20"/>
  <c r="F45" i="20" s="1"/>
  <c r="G45" i="20" s="1"/>
  <c r="C46" i="8"/>
  <c r="E46" i="8"/>
  <c r="F46" i="8" s="1"/>
  <c r="G46" i="8" s="1"/>
  <c r="C46" i="33"/>
  <c r="E46" i="33"/>
  <c r="F46" i="33" s="1"/>
  <c r="G46" i="33" s="1"/>
  <c r="C44" i="48"/>
  <c r="E44" i="48"/>
  <c r="F44" i="48" s="1"/>
  <c r="G44" i="48" s="1"/>
  <c r="C46" i="20"/>
  <c r="E46" i="20"/>
  <c r="F46" i="20" s="1"/>
  <c r="G46" i="20" s="1"/>
  <c r="C46" i="34"/>
  <c r="E46" i="34"/>
  <c r="F46" i="34" s="1"/>
  <c r="G46" i="34" s="1"/>
  <c r="E30" i="3"/>
  <c r="F30" i="3" s="1"/>
  <c r="G30" i="3" s="1"/>
  <c r="C30" i="3"/>
  <c r="K30" i="3"/>
  <c r="K27" i="18"/>
  <c r="C26" i="18"/>
  <c r="E27" i="18"/>
  <c r="F27" i="18" s="1"/>
  <c r="G27" i="18" s="1"/>
  <c r="E27" i="20"/>
  <c r="F27" i="20" s="1"/>
  <c r="G27" i="20" s="1"/>
  <c r="J27" i="20"/>
  <c r="C27" i="20"/>
  <c r="J28" i="8"/>
  <c r="C36" i="53"/>
  <c r="E36" i="53"/>
  <c r="F36" i="53" s="1"/>
  <c r="G36" i="53" s="1"/>
  <c r="J36" i="53"/>
  <c r="J25" i="44"/>
  <c r="E25" i="44"/>
  <c r="F25" i="44" s="1"/>
  <c r="G25" i="44" s="1"/>
  <c r="C25" i="44"/>
  <c r="K29" i="31"/>
  <c r="J27" i="8"/>
  <c r="C29" i="6"/>
  <c r="K29" i="6"/>
  <c r="E29" i="6"/>
  <c r="F29" i="6" s="1"/>
  <c r="G29" i="6" s="1"/>
  <c r="J25" i="61"/>
  <c r="C25" i="61"/>
  <c r="E25" i="61"/>
  <c r="F25" i="61" s="1"/>
  <c r="G25" i="61" s="1"/>
  <c r="C53" i="7"/>
  <c r="E53" i="7"/>
  <c r="F53" i="7" s="1"/>
  <c r="G53" i="7" s="1"/>
  <c r="C52" i="6"/>
  <c r="E52" i="6"/>
  <c r="F52" i="6" s="1"/>
  <c r="G52" i="6" s="1"/>
  <c r="C44" i="18"/>
  <c r="E44" i="18"/>
  <c r="F44" i="18" s="1"/>
  <c r="G44" i="18" s="1"/>
  <c r="C44" i="61"/>
  <c r="E44" i="61"/>
  <c r="F44" i="61" s="1"/>
  <c r="G44" i="61" s="1"/>
  <c r="C44" i="34"/>
  <c r="E44" i="34"/>
  <c r="F44" i="34" s="1"/>
  <c r="G44" i="34" s="1"/>
  <c r="E30" i="55"/>
  <c r="F30" i="55" s="1"/>
  <c r="G30" i="55" s="1"/>
  <c r="C30" i="55"/>
  <c r="J30" i="55"/>
  <c r="E47" i="53"/>
  <c r="F47" i="53" s="1"/>
  <c r="G47" i="53" s="1"/>
  <c r="C47" i="53"/>
  <c r="E24" i="47"/>
  <c r="F24" i="47" s="1"/>
  <c r="G24" i="47" s="1"/>
  <c r="C24" i="47"/>
  <c r="J24" i="47"/>
  <c r="C31" i="53"/>
  <c r="J31" i="53"/>
  <c r="E31" i="53"/>
  <c r="F31" i="53" s="1"/>
  <c r="G31" i="53" s="1"/>
  <c r="E31" i="55"/>
  <c r="F31" i="55" s="1"/>
  <c r="G31" i="55" s="1"/>
  <c r="J31" i="55"/>
  <c r="C31" i="55"/>
  <c r="C46" i="44"/>
  <c r="E46" i="44"/>
  <c r="F46" i="44" s="1"/>
  <c r="G46" i="44" s="1"/>
  <c r="C48" i="8"/>
  <c r="E48" i="8"/>
  <c r="F48" i="8" s="1"/>
  <c r="G48" i="8" s="1"/>
  <c r="C47" i="19"/>
  <c r="E47" i="19"/>
  <c r="F47" i="19" s="1"/>
  <c r="G47" i="19" s="1"/>
  <c r="C47" i="34"/>
  <c r="E47" i="34"/>
  <c r="F47" i="34" s="1"/>
  <c r="G47" i="34" s="1"/>
  <c r="E29" i="72"/>
  <c r="C29" i="72"/>
  <c r="D29" i="72"/>
  <c r="J29" i="72" s="1"/>
  <c r="E25" i="56"/>
  <c r="D25" i="56"/>
  <c r="K25" i="56" s="1"/>
  <c r="J24" i="44"/>
  <c r="C24" i="44"/>
  <c r="E24" i="44"/>
  <c r="F24" i="44" s="1"/>
  <c r="G24" i="44" s="1"/>
  <c r="E25" i="34"/>
  <c r="F25" i="34" s="1"/>
  <c r="G25" i="34" s="1"/>
  <c r="C25" i="34"/>
  <c r="J25" i="34"/>
  <c r="C25" i="19"/>
  <c r="E25" i="19"/>
  <c r="D25" i="19"/>
  <c r="K25" i="19" s="1"/>
  <c r="J35" i="37"/>
  <c r="C35" i="37"/>
  <c r="E35" i="37"/>
  <c r="F35" i="37" s="1"/>
  <c r="G35" i="37" s="1"/>
  <c r="J26" i="61"/>
  <c r="C26" i="61"/>
  <c r="E26" i="61"/>
  <c r="F26" i="61" s="1"/>
  <c r="G26" i="61" s="1"/>
  <c r="C51" i="4"/>
  <c r="E51" i="4"/>
  <c r="F51" i="4" s="1"/>
  <c r="G51" i="4" s="1"/>
  <c r="C52" i="54"/>
  <c r="E52" i="54"/>
  <c r="F52" i="54" s="1"/>
  <c r="G52" i="54" s="1"/>
  <c r="C36" i="6"/>
  <c r="E36" i="6"/>
  <c r="C39" i="81"/>
  <c r="E39" i="81"/>
  <c r="F39" i="81" s="1"/>
  <c r="G39" i="81" s="1"/>
  <c r="E44" i="58"/>
  <c r="F44" i="58" s="1"/>
  <c r="G44" i="58" s="1"/>
  <c r="C32" i="81"/>
  <c r="E32" i="81"/>
  <c r="F32" i="81" s="1"/>
  <c r="G32" i="81" s="1"/>
  <c r="J32" i="81"/>
  <c r="C27" i="74"/>
  <c r="E27" i="74"/>
  <c r="F27" i="74" s="1"/>
  <c r="J27" i="74"/>
  <c r="E30" i="7"/>
  <c r="F30" i="7" s="1"/>
  <c r="G30" i="7" s="1"/>
  <c r="C30" i="7"/>
  <c r="J30" i="7"/>
  <c r="C38" i="6"/>
  <c r="E38" i="6"/>
  <c r="E50" i="51"/>
  <c r="F50" i="51" s="1"/>
  <c r="G50" i="51" s="1"/>
  <c r="C50" i="51"/>
  <c r="E28" i="74"/>
  <c r="F28" i="74" s="1"/>
  <c r="G28" i="74" s="1"/>
  <c r="C28" i="74"/>
  <c r="J28" i="74"/>
  <c r="C45" i="18"/>
  <c r="E45" i="18"/>
  <c r="F45" i="18" s="1"/>
  <c r="G45" i="18" s="1"/>
  <c r="C45" i="34"/>
  <c r="E45" i="34"/>
  <c r="F45" i="34" s="1"/>
  <c r="G45" i="34" s="1"/>
  <c r="C45" i="61"/>
  <c r="E45" i="61"/>
  <c r="F45" i="61" s="1"/>
  <c r="G45" i="61" s="1"/>
  <c r="C46" i="62"/>
  <c r="E46" i="62"/>
  <c r="F46" i="62" s="1"/>
  <c r="G46" i="62" s="1"/>
  <c r="C47" i="8"/>
  <c r="E47" i="8"/>
  <c r="F47" i="8" s="1"/>
  <c r="G47" i="8" s="1"/>
  <c r="C46" i="61"/>
  <c r="E46" i="61"/>
  <c r="F46" i="61" s="1"/>
  <c r="G46" i="61" s="1"/>
  <c r="E27" i="70"/>
  <c r="F27" i="70" s="1"/>
  <c r="G27" i="70" s="1"/>
  <c r="C27" i="70"/>
  <c r="K27" i="70"/>
  <c r="D31" i="72"/>
  <c r="J31" i="72" s="1"/>
  <c r="E27" i="34"/>
  <c r="F27" i="34" s="1"/>
  <c r="G27" i="34" s="1"/>
  <c r="J27" i="34"/>
  <c r="C27" i="34"/>
  <c r="K27" i="56"/>
  <c r="C26" i="44"/>
  <c r="J26" i="44"/>
  <c r="E26" i="44"/>
  <c r="F26" i="44" s="1"/>
  <c r="G26" i="44" s="1"/>
  <c r="C32" i="80"/>
  <c r="E32" i="80"/>
  <c r="F32" i="80" s="1"/>
  <c r="G32" i="80" s="1"/>
  <c r="J32" i="80"/>
  <c r="E30" i="72"/>
  <c r="D30" i="72"/>
  <c r="J30" i="72" s="1"/>
  <c r="C30" i="72"/>
  <c r="C26" i="33"/>
  <c r="K26" i="33"/>
  <c r="E26" i="33"/>
  <c r="F26" i="33" s="1"/>
  <c r="G26" i="33" s="1"/>
  <c r="J26" i="34"/>
  <c r="C26" i="34"/>
  <c r="E26" i="34"/>
  <c r="F26" i="34" s="1"/>
  <c r="G26" i="34" s="1"/>
  <c r="E26" i="18"/>
  <c r="F26" i="18" s="1"/>
  <c r="G26" i="18" s="1"/>
  <c r="K26" i="18"/>
  <c r="C24" i="48"/>
  <c r="J24" i="48"/>
  <c r="E24" i="48"/>
  <c r="F24" i="48" s="1"/>
  <c r="G24" i="48" s="1"/>
  <c r="E25" i="62"/>
  <c r="F25" i="62" s="1"/>
  <c r="G25" i="62" s="1"/>
  <c r="C25" i="62"/>
  <c r="J25" i="62"/>
  <c r="C52" i="3"/>
  <c r="E52" i="3"/>
  <c r="F52" i="3" s="1"/>
  <c r="G52" i="3" s="1"/>
  <c r="C53" i="54"/>
  <c r="E53" i="54"/>
  <c r="F53" i="54" s="1"/>
  <c r="G53" i="54" s="1"/>
  <c r="C44" i="19"/>
  <c r="E44" i="19"/>
  <c r="F44" i="19" s="1"/>
  <c r="G44" i="19" s="1"/>
  <c r="E44" i="62"/>
  <c r="F44" i="62" s="1"/>
  <c r="G44" i="62" s="1"/>
  <c r="C44" i="62"/>
  <c r="C45" i="8"/>
  <c r="E45" i="8"/>
  <c r="F45" i="8" s="1"/>
  <c r="G45" i="8" s="1"/>
  <c r="E44" i="33"/>
  <c r="F44" i="33" s="1"/>
  <c r="G44" i="33" s="1"/>
  <c r="C44" i="33"/>
  <c r="E31" i="51"/>
  <c r="F31" i="51" s="1"/>
  <c r="G31" i="51" s="1"/>
  <c r="J31" i="51"/>
  <c r="C31" i="51"/>
  <c r="C38" i="80"/>
  <c r="E38" i="80"/>
  <c r="F38" i="80" s="1"/>
  <c r="G38" i="80" s="1"/>
  <c r="J26" i="46"/>
  <c r="C26" i="46"/>
  <c r="E26" i="46"/>
  <c r="F26" i="46" s="1"/>
  <c r="G26" i="46" s="1"/>
  <c r="C31" i="78"/>
  <c r="E31" i="78"/>
  <c r="F31" i="78" s="1"/>
  <c r="G31" i="78" s="1"/>
  <c r="J31" i="78"/>
  <c r="C27" i="80"/>
  <c r="J27" i="80"/>
  <c r="E27" i="80"/>
  <c r="F27" i="80" s="1"/>
  <c r="G27" i="80" s="1"/>
  <c r="C47" i="18"/>
  <c r="E47" i="18"/>
  <c r="F47" i="18" s="1"/>
  <c r="G47" i="18" s="1"/>
  <c r="E47" i="56"/>
  <c r="F47" i="56" s="1"/>
  <c r="G47" i="56" s="1"/>
  <c r="C47" i="17"/>
  <c r="E47" i="17"/>
  <c r="F47" i="17" s="1"/>
  <c r="G47" i="17" s="1"/>
  <c r="E25" i="70"/>
  <c r="F25" i="70" s="1"/>
  <c r="G25" i="70" s="1"/>
  <c r="K25" i="70"/>
  <c r="C25" i="70"/>
  <c r="D26" i="8"/>
  <c r="J26" i="8" s="1"/>
  <c r="E26" i="8"/>
  <c r="E28" i="4"/>
  <c r="F28" i="4" s="1"/>
  <c r="G28" i="4" s="1"/>
  <c r="K28" i="4"/>
  <c r="C28" i="4"/>
  <c r="J28" i="4"/>
  <c r="C28" i="5"/>
  <c r="E28" i="5"/>
  <c r="D28" i="5"/>
  <c r="K28" i="5" s="1"/>
  <c r="K28" i="30"/>
  <c r="C28" i="30"/>
  <c r="E28" i="30"/>
  <c r="F28" i="30" s="1"/>
  <c r="G28" i="30" s="1"/>
  <c r="J29" i="54"/>
  <c r="C29" i="54"/>
  <c r="E29" i="54"/>
  <c r="F29" i="54" s="1"/>
  <c r="G29" i="54" s="1"/>
  <c r="C52" i="31"/>
  <c r="E52" i="31"/>
  <c r="F52" i="31" s="1"/>
  <c r="G52" i="31" s="1"/>
  <c r="E51" i="30"/>
  <c r="F51" i="30" s="1"/>
  <c r="G51" i="30" s="1"/>
  <c r="C51" i="30"/>
  <c r="C51" i="5"/>
  <c r="E51" i="5"/>
  <c r="F51" i="5" s="1"/>
  <c r="G51" i="5" s="1"/>
  <c r="C36" i="71"/>
  <c r="E36" i="71"/>
  <c r="C48" i="53"/>
  <c r="E48" i="53"/>
  <c r="F48" i="53" s="1"/>
  <c r="G48" i="53" s="1"/>
  <c r="C50" i="62"/>
  <c r="J27" i="37"/>
  <c r="C27" i="37"/>
  <c r="E27" i="37"/>
  <c r="F27" i="37" s="1"/>
  <c r="C30" i="54"/>
  <c r="J30" i="54"/>
  <c r="E30" i="54"/>
  <c r="F30" i="54" s="1"/>
  <c r="G30" i="54" s="1"/>
  <c r="C38" i="71"/>
  <c r="E38" i="71"/>
  <c r="J23" i="47"/>
  <c r="C23" i="47"/>
  <c r="E23" i="47"/>
  <c r="F23" i="47" s="1"/>
  <c r="G23" i="47" s="1"/>
  <c r="G41" i="47" s="1"/>
  <c r="E49" i="55"/>
  <c r="F49" i="55" s="1"/>
  <c r="G49" i="55" s="1"/>
  <c r="C49" i="55"/>
  <c r="C28" i="37"/>
  <c r="J28" i="37"/>
  <c r="E28" i="37"/>
  <c r="F28" i="37" s="1"/>
  <c r="G28" i="37" s="1"/>
  <c r="C43" i="48"/>
  <c r="E43" i="48"/>
  <c r="F43" i="48" s="1"/>
  <c r="G43" i="48" s="1"/>
  <c r="C45" i="56"/>
  <c r="E45" i="56"/>
  <c r="F45" i="56" s="1"/>
  <c r="G45" i="56" s="1"/>
  <c r="C45" i="33"/>
  <c r="E45" i="33"/>
  <c r="F45" i="33" s="1"/>
  <c r="G45" i="33" s="1"/>
  <c r="C46" i="56"/>
  <c r="E46" i="56"/>
  <c r="F46" i="56" s="1"/>
  <c r="G46" i="56" s="1"/>
  <c r="C46" i="18"/>
  <c r="E46" i="18"/>
  <c r="F46" i="18" s="1"/>
  <c r="G46" i="18" s="1"/>
  <c r="C46" i="70"/>
  <c r="E46" i="70"/>
  <c r="F46" i="70" s="1"/>
  <c r="G46" i="70" s="1"/>
  <c r="E30" i="6"/>
  <c r="F30" i="6" s="1"/>
  <c r="G30" i="6" s="1"/>
  <c r="K30" i="6"/>
  <c r="C30" i="6"/>
  <c r="E30" i="30"/>
  <c r="F30" i="30" s="1"/>
  <c r="G30" i="30" s="1"/>
  <c r="J30" i="30"/>
  <c r="C30" i="30"/>
  <c r="K30" i="30"/>
  <c r="K30" i="71"/>
  <c r="E30" i="71"/>
  <c r="F30" i="71" s="1"/>
  <c r="G30" i="71" s="1"/>
  <c r="C30" i="71"/>
  <c r="K30" i="31"/>
  <c r="C27" i="33"/>
  <c r="E27" i="33"/>
  <c r="F27" i="33" s="1"/>
  <c r="G27" i="33" s="1"/>
  <c r="J27" i="33"/>
  <c r="E29" i="30"/>
  <c r="F29" i="30" s="1"/>
  <c r="G29" i="30" s="1"/>
  <c r="C29" i="30"/>
  <c r="J29" i="30"/>
  <c r="K29" i="30"/>
  <c r="C26" i="20"/>
  <c r="J26" i="20"/>
  <c r="E26" i="20"/>
  <c r="F26" i="20" s="1"/>
  <c r="G26" i="20" s="1"/>
  <c r="C26" i="70"/>
  <c r="E26" i="70"/>
  <c r="F26" i="70" s="1"/>
  <c r="G26" i="70" s="1"/>
  <c r="K26" i="70"/>
  <c r="C26" i="17"/>
  <c r="J26" i="17"/>
  <c r="E26" i="17"/>
  <c r="F26" i="17" s="1"/>
  <c r="G26" i="17" s="1"/>
  <c r="K29" i="71"/>
  <c r="E29" i="71"/>
  <c r="F29" i="71" s="1"/>
  <c r="G29" i="71" s="1"/>
  <c r="C29" i="71"/>
  <c r="E28" i="54"/>
  <c r="F28" i="54" s="1"/>
  <c r="G28" i="54" s="1"/>
  <c r="J28" i="54"/>
  <c r="C28" i="54"/>
  <c r="J27" i="58"/>
  <c r="C27" i="58"/>
  <c r="E27" i="58"/>
  <c r="F27" i="58" s="1"/>
  <c r="G27" i="58" s="1"/>
  <c r="C52" i="5"/>
  <c r="E52" i="5"/>
  <c r="F52" i="5" s="1"/>
  <c r="G52" i="5" s="1"/>
  <c r="C52" i="30"/>
  <c r="E52" i="30"/>
  <c r="F52" i="30" s="1"/>
  <c r="G52" i="30" s="1"/>
  <c r="C43" i="44"/>
  <c r="E43" i="44"/>
  <c r="F43" i="44" s="1"/>
  <c r="G43" i="44" s="1"/>
  <c r="C44" i="17"/>
  <c r="E44" i="17"/>
  <c r="F44" i="17" s="1"/>
  <c r="G44" i="17" s="1"/>
  <c r="C42" i="48"/>
  <c r="E42" i="48"/>
  <c r="F42" i="48" s="1"/>
  <c r="G42" i="48" s="1"/>
  <c r="C30" i="53"/>
  <c r="E30" i="53"/>
  <c r="F30" i="53" s="1"/>
  <c r="G30" i="53" s="1"/>
  <c r="J30" i="53"/>
  <c r="E30" i="78"/>
  <c r="F30" i="78" s="1"/>
  <c r="G30" i="78" s="1"/>
  <c r="J30" i="78"/>
  <c r="C30" i="78"/>
  <c r="C38" i="81"/>
  <c r="E38" i="81"/>
  <c r="F38" i="81" s="1"/>
  <c r="G38" i="81" s="1"/>
  <c r="C34" i="72"/>
  <c r="E34" i="72"/>
  <c r="F34" i="72" s="1"/>
  <c r="G34" i="72" s="1"/>
  <c r="E27" i="81"/>
  <c r="F27" i="81" s="1"/>
  <c r="G27" i="81" s="1"/>
  <c r="J27" i="81"/>
  <c r="C27" i="81"/>
  <c r="E29" i="74"/>
  <c r="F29" i="74" s="1"/>
  <c r="G29" i="74" s="1"/>
  <c r="J29" i="74"/>
  <c r="C29" i="74"/>
  <c r="C47" i="33"/>
  <c r="E47" i="33"/>
  <c r="F47" i="33" s="1"/>
  <c r="G47" i="33" s="1"/>
  <c r="C45" i="48"/>
  <c r="E45" i="48"/>
  <c r="F45" i="48" s="1"/>
  <c r="G45" i="48" s="1"/>
  <c r="C47" i="20"/>
  <c r="E47" i="20"/>
  <c r="F47" i="20" s="1"/>
  <c r="G47" i="20" s="1"/>
  <c r="C25" i="33"/>
  <c r="J25" i="33"/>
  <c r="E25" i="33"/>
  <c r="F25" i="33" s="1"/>
  <c r="G25" i="33" s="1"/>
  <c r="C28" i="6"/>
  <c r="D28" i="6"/>
  <c r="K28" i="6" s="1"/>
  <c r="E28" i="6"/>
  <c r="D28" i="31"/>
  <c r="K28" i="31" s="1"/>
  <c r="E28" i="31"/>
  <c r="C25" i="18"/>
  <c r="E25" i="18"/>
  <c r="D25" i="18"/>
  <c r="K25" i="18" s="1"/>
  <c r="C28" i="71"/>
  <c r="D28" i="71"/>
  <c r="K28" i="71" s="1"/>
  <c r="E28" i="71"/>
  <c r="C26" i="62"/>
  <c r="J26" i="62"/>
  <c r="E26" i="62"/>
  <c r="F26" i="62" s="1"/>
  <c r="G26" i="62" s="1"/>
  <c r="C51" i="6"/>
  <c r="E51" i="6"/>
  <c r="F51" i="6" s="1"/>
  <c r="G51" i="6" s="1"/>
  <c r="E51" i="3"/>
  <c r="F51" i="3" s="1"/>
  <c r="G51" i="3" s="1"/>
  <c r="C51" i="3"/>
  <c r="J26" i="58"/>
  <c r="E26" i="58"/>
  <c r="F26" i="58" s="1"/>
  <c r="G26" i="58" s="1"/>
  <c r="C26" i="58"/>
  <c r="C34" i="74"/>
  <c r="E34" i="74"/>
  <c r="F34" i="74" s="1"/>
  <c r="G34" i="74" s="1"/>
  <c r="J34" i="74"/>
  <c r="C39" i="80"/>
  <c r="E39" i="80"/>
  <c r="F39" i="80" s="1"/>
  <c r="G39" i="80" s="1"/>
  <c r="E50" i="20"/>
  <c r="F50" i="20" s="1"/>
  <c r="G50" i="20" s="1"/>
  <c r="C51" i="17"/>
  <c r="C48" i="18"/>
  <c r="E48" i="18"/>
  <c r="F48" i="18" s="1"/>
  <c r="G48" i="18" s="1"/>
  <c r="C48" i="19"/>
  <c r="E48" i="19"/>
  <c r="F48" i="19" s="1"/>
  <c r="G48" i="19" s="1"/>
  <c r="C46" i="48"/>
  <c r="E46" i="48"/>
  <c r="F46" i="48" s="1"/>
  <c r="G46" i="48" s="1"/>
  <c r="C48" i="61"/>
  <c r="E48" i="61"/>
  <c r="F48" i="61" s="1"/>
  <c r="G48" i="61" s="1"/>
  <c r="C48" i="34"/>
  <c r="E48" i="34"/>
  <c r="F48" i="34" s="1"/>
  <c r="G48" i="34" s="1"/>
  <c r="C48" i="17"/>
  <c r="E48" i="17"/>
  <c r="F48" i="17" s="1"/>
  <c r="G48" i="17" s="1"/>
  <c r="C48" i="33"/>
  <c r="E48" i="33"/>
  <c r="F48" i="33" s="1"/>
  <c r="G48" i="33" s="1"/>
  <c r="C48" i="20"/>
  <c r="E48" i="20"/>
  <c r="F48" i="20" s="1"/>
  <c r="G48" i="20" s="1"/>
  <c r="C48" i="62"/>
  <c r="E48" i="62"/>
  <c r="F48" i="62" s="1"/>
  <c r="G48" i="62" s="1"/>
  <c r="C47" i="44"/>
  <c r="E47" i="44"/>
  <c r="F47" i="44" s="1"/>
  <c r="G47" i="44" s="1"/>
  <c r="C48" i="56"/>
  <c r="E48" i="56"/>
  <c r="F48" i="56" s="1"/>
  <c r="G48" i="56" s="1"/>
  <c r="C49" i="8"/>
  <c r="E49" i="8"/>
  <c r="F49" i="8" s="1"/>
  <c r="G49" i="8" s="1"/>
  <c r="C48" i="70"/>
  <c r="E48" i="70"/>
  <c r="F48" i="70" s="1"/>
  <c r="G48" i="70" s="1"/>
  <c r="C48" i="81"/>
  <c r="E48" i="81"/>
  <c r="F48" i="81" s="1"/>
  <c r="G48" i="81" s="1"/>
  <c r="E52" i="33"/>
  <c r="F52" i="33" s="1"/>
  <c r="G52" i="33" s="1"/>
  <c r="C52" i="33"/>
  <c r="C52" i="19"/>
  <c r="E52" i="19"/>
  <c r="F52" i="19" s="1"/>
  <c r="G52" i="19" s="1"/>
  <c r="C52" i="70"/>
  <c r="E52" i="70"/>
  <c r="F52" i="70" s="1"/>
  <c r="G52" i="70" s="1"/>
  <c r="C51" i="20"/>
  <c r="E51" i="20"/>
  <c r="F51" i="20" s="1"/>
  <c r="G51" i="20" s="1"/>
  <c r="E54" i="18"/>
  <c r="F54" i="18" s="1"/>
  <c r="G54" i="18" s="1"/>
  <c r="C54" i="18"/>
  <c r="E54" i="19"/>
  <c r="F54" i="19" s="1"/>
  <c r="G54" i="19" s="1"/>
  <c r="C54" i="19"/>
  <c r="C50" i="80"/>
  <c r="E50" i="80"/>
  <c r="F50" i="80" s="1"/>
  <c r="G50" i="80" s="1"/>
  <c r="C54" i="58"/>
  <c r="E54" i="58"/>
  <c r="F54" i="58" s="1"/>
  <c r="G54" i="58" s="1"/>
  <c r="C53" i="70"/>
  <c r="E53" i="70"/>
  <c r="F53" i="70" s="1"/>
  <c r="G53" i="70" s="1"/>
  <c r="C53" i="61"/>
  <c r="E53" i="61"/>
  <c r="F53" i="61" s="1"/>
  <c r="G53" i="61" s="1"/>
  <c r="C49" i="80"/>
  <c r="E49" i="80"/>
  <c r="F49" i="80" s="1"/>
  <c r="G49" i="80" s="1"/>
  <c r="C49" i="81"/>
  <c r="E49" i="81"/>
  <c r="F49" i="81" s="1"/>
  <c r="G49" i="81" s="1"/>
  <c r="C49" i="58"/>
  <c r="E49" i="58"/>
  <c r="F49" i="58" s="1"/>
  <c r="G49" i="58" s="1"/>
  <c r="C49" i="33"/>
  <c r="E49" i="33"/>
  <c r="F49" i="33" s="1"/>
  <c r="G49" i="33" s="1"/>
  <c r="C49" i="70"/>
  <c r="E49" i="70"/>
  <c r="F49" i="70" s="1"/>
  <c r="G49" i="70" s="1"/>
  <c r="C47" i="46"/>
  <c r="E47" i="46"/>
  <c r="F47" i="46" s="1"/>
  <c r="G47" i="46" s="1"/>
  <c r="C52" i="18"/>
  <c r="E52" i="18"/>
  <c r="F52" i="18" s="1"/>
  <c r="G52" i="18" s="1"/>
  <c r="C53" i="8"/>
  <c r="E53" i="8"/>
  <c r="F53" i="8" s="1"/>
  <c r="G53" i="8" s="1"/>
  <c r="C48" i="80"/>
  <c r="E48" i="80"/>
  <c r="F48" i="80" s="1"/>
  <c r="G48" i="80" s="1"/>
  <c r="C52" i="34"/>
  <c r="E52" i="34"/>
  <c r="F52" i="34" s="1"/>
  <c r="G52" i="34" s="1"/>
  <c r="E49" i="46"/>
  <c r="F49" i="46" s="1"/>
  <c r="G49" i="46" s="1"/>
  <c r="C49" i="46"/>
  <c r="E50" i="44"/>
  <c r="F50" i="44" s="1"/>
  <c r="G50" i="44" s="1"/>
  <c r="C50" i="44"/>
  <c r="C52" i="48"/>
  <c r="E52" i="48"/>
  <c r="F52" i="48" s="1"/>
  <c r="G52" i="48" s="1"/>
  <c r="E54" i="61"/>
  <c r="F54" i="61" s="1"/>
  <c r="G54" i="61" s="1"/>
  <c r="C54" i="61"/>
  <c r="C54" i="62"/>
  <c r="E54" i="62"/>
  <c r="F54" i="62" s="1"/>
  <c r="G54" i="62" s="1"/>
  <c r="C54" i="70"/>
  <c r="E54" i="70"/>
  <c r="F54" i="70" s="1"/>
  <c r="G54" i="70" s="1"/>
  <c r="E53" i="17"/>
  <c r="F53" i="17" s="1"/>
  <c r="G53" i="17" s="1"/>
  <c r="C53" i="17"/>
  <c r="C52" i="44"/>
  <c r="E52" i="44"/>
  <c r="F52" i="44" s="1"/>
  <c r="G52" i="44" s="1"/>
  <c r="C53" i="18"/>
  <c r="E53" i="18"/>
  <c r="F53" i="18" s="1"/>
  <c r="G53" i="18" s="1"/>
  <c r="C54" i="8"/>
  <c r="E54" i="8"/>
  <c r="F54" i="8" s="1"/>
  <c r="G54" i="8" s="1"/>
  <c r="E45" i="47"/>
  <c r="F45" i="47" s="1"/>
  <c r="G45" i="47" s="1"/>
  <c r="C45" i="47"/>
  <c r="C49" i="61"/>
  <c r="E49" i="61"/>
  <c r="F49" i="61" s="1"/>
  <c r="G49" i="61" s="1"/>
  <c r="C49" i="34"/>
  <c r="E49" i="34"/>
  <c r="F49" i="34" s="1"/>
  <c r="G49" i="34" s="1"/>
  <c r="C49" i="19"/>
  <c r="E49" i="19"/>
  <c r="F49" i="19" s="1"/>
  <c r="G49" i="19" s="1"/>
  <c r="C52" i="20"/>
  <c r="E52" i="20"/>
  <c r="F52" i="20" s="1"/>
  <c r="G52" i="20" s="1"/>
  <c r="E51" i="44"/>
  <c r="F51" i="44" s="1"/>
  <c r="G51" i="44" s="1"/>
  <c r="C51" i="44"/>
  <c r="E52" i="58"/>
  <c r="F52" i="58" s="1"/>
  <c r="G52" i="58" s="1"/>
  <c r="C52" i="58"/>
  <c r="C51" i="58"/>
  <c r="E51" i="58"/>
  <c r="F51" i="58" s="1"/>
  <c r="G51" i="58" s="1"/>
  <c r="C51" i="70"/>
  <c r="E51" i="70"/>
  <c r="F51" i="70" s="1"/>
  <c r="G51" i="70" s="1"/>
  <c r="E55" i="8"/>
  <c r="F55" i="8" s="1"/>
  <c r="G55" i="8" s="1"/>
  <c r="C55" i="8"/>
  <c r="C54" i="34"/>
  <c r="E54" i="34"/>
  <c r="F54" i="34" s="1"/>
  <c r="G54" i="34" s="1"/>
  <c r="C54" i="20"/>
  <c r="E54" i="20"/>
  <c r="F54" i="20" s="1"/>
  <c r="G54" i="20" s="1"/>
  <c r="C50" i="81"/>
  <c r="E50" i="81"/>
  <c r="F50" i="81" s="1"/>
  <c r="G50" i="81" s="1"/>
  <c r="C53" i="58"/>
  <c r="E53" i="58"/>
  <c r="F53" i="58" s="1"/>
  <c r="G53" i="58" s="1"/>
  <c r="C53" i="56"/>
  <c r="E53" i="56"/>
  <c r="F53" i="56" s="1"/>
  <c r="G53" i="56" s="1"/>
  <c r="C53" i="33"/>
  <c r="E53" i="33"/>
  <c r="F53" i="33" s="1"/>
  <c r="G53" i="33" s="1"/>
  <c r="C53" i="19"/>
  <c r="E53" i="19"/>
  <c r="F53" i="19" s="1"/>
  <c r="G53" i="19" s="1"/>
  <c r="C49" i="62"/>
  <c r="E49" i="62"/>
  <c r="F49" i="62" s="1"/>
  <c r="G49" i="62" s="1"/>
  <c r="C45" i="81"/>
  <c r="E45" i="81"/>
  <c r="F45" i="81" s="1"/>
  <c r="G45" i="81" s="1"/>
  <c r="C47" i="48"/>
  <c r="E47" i="48"/>
  <c r="F47" i="48" s="1"/>
  <c r="G47" i="48" s="1"/>
  <c r="C48" i="44"/>
  <c r="E48" i="44"/>
  <c r="F48" i="44" s="1"/>
  <c r="G48" i="44" s="1"/>
  <c r="C52" i="56"/>
  <c r="E52" i="56"/>
  <c r="F52" i="56" s="1"/>
  <c r="G52" i="56" s="1"/>
  <c r="C52" i="62"/>
  <c r="E52" i="62"/>
  <c r="F52" i="62" s="1"/>
  <c r="G52" i="62" s="1"/>
  <c r="E50" i="48"/>
  <c r="F50" i="48" s="1"/>
  <c r="G50" i="48" s="1"/>
  <c r="C50" i="48"/>
  <c r="C52" i="61"/>
  <c r="E52" i="61"/>
  <c r="F52" i="61" s="1"/>
  <c r="G52" i="61" s="1"/>
  <c r="C47" i="81"/>
  <c r="E47" i="81"/>
  <c r="F47" i="81" s="1"/>
  <c r="G47" i="81" s="1"/>
  <c r="C53" i="44"/>
  <c r="E53" i="44"/>
  <c r="F53" i="44" s="1"/>
  <c r="G53" i="44" s="1"/>
  <c r="C54" i="17"/>
  <c r="E54" i="17"/>
  <c r="F54" i="17" s="1"/>
  <c r="G54" i="17" s="1"/>
  <c r="C54" i="56"/>
  <c r="E54" i="56"/>
  <c r="F54" i="56" s="1"/>
  <c r="G54" i="56" s="1"/>
  <c r="C54" i="33"/>
  <c r="E54" i="33"/>
  <c r="F54" i="33" s="1"/>
  <c r="G54" i="33" s="1"/>
  <c r="C53" i="20"/>
  <c r="E53" i="20"/>
  <c r="F53" i="20" s="1"/>
  <c r="G53" i="20" s="1"/>
  <c r="C53" i="34"/>
  <c r="E53" i="34"/>
  <c r="F53" i="34" s="1"/>
  <c r="G53" i="34" s="1"/>
  <c r="C53" i="62"/>
  <c r="E53" i="62"/>
  <c r="F53" i="62" s="1"/>
  <c r="G53" i="62" s="1"/>
  <c r="C51" i="48"/>
  <c r="E51" i="48"/>
  <c r="F51" i="48" s="1"/>
  <c r="G51" i="48" s="1"/>
  <c r="C49" i="17"/>
  <c r="E49" i="17"/>
  <c r="F49" i="17" s="1"/>
  <c r="G49" i="17" s="1"/>
  <c r="C49" i="18"/>
  <c r="E49" i="18"/>
  <c r="F49" i="18" s="1"/>
  <c r="G49" i="18" s="1"/>
  <c r="C49" i="20"/>
  <c r="E49" i="20"/>
  <c r="F49" i="20" s="1"/>
  <c r="G49" i="20" s="1"/>
  <c r="C45" i="80"/>
  <c r="E45" i="80"/>
  <c r="F45" i="80" s="1"/>
  <c r="G45" i="80" s="1"/>
  <c r="N13" i="5"/>
  <c r="N14" i="5" s="1"/>
  <c r="M14" i="5"/>
  <c r="M17" i="5" s="1"/>
  <c r="U24" i="5"/>
  <c r="T24" i="5"/>
  <c r="M25" i="71"/>
  <c r="O10" i="71"/>
  <c r="O11" i="71" s="1"/>
  <c r="N13" i="71"/>
  <c r="N14" i="71" s="1"/>
  <c r="M14" i="71"/>
  <c r="M17" i="71" s="1"/>
  <c r="M24" i="71"/>
  <c r="N13" i="4"/>
  <c r="N14" i="4" s="1"/>
  <c r="M14" i="4"/>
  <c r="M17" i="4" s="1"/>
  <c r="L14" i="51"/>
  <c r="L20" i="51" s="1"/>
  <c r="R20" i="51"/>
  <c r="R9" i="51" s="1"/>
  <c r="Q36" i="51"/>
  <c r="Q27" i="51"/>
  <c r="Q29" i="51"/>
  <c r="Q32" i="51"/>
  <c r="Q24" i="51"/>
  <c r="R24" i="51" s="1"/>
  <c r="S24" i="51" s="1"/>
  <c r="Q34" i="51"/>
  <c r="Q28" i="51"/>
  <c r="S20" i="51"/>
  <c r="S9" i="51" s="1"/>
  <c r="Q35" i="51"/>
  <c r="Q25" i="51"/>
  <c r="R25" i="51" s="1"/>
  <c r="T25" i="51" s="1"/>
  <c r="Q30" i="51"/>
  <c r="T20" i="51"/>
  <c r="T9" i="51" s="1"/>
  <c r="Q26" i="51"/>
  <c r="Q31" i="51"/>
  <c r="G48" i="46"/>
  <c r="R20" i="81"/>
  <c r="T20" i="81" s="1"/>
  <c r="R21" i="81"/>
  <c r="U21" i="81" s="1"/>
  <c r="U28" i="7"/>
  <c r="T26" i="5"/>
  <c r="V26" i="5"/>
  <c r="S27" i="5"/>
  <c r="S28" i="5" s="1"/>
  <c r="U29" i="55"/>
  <c r="T29" i="55"/>
  <c r="V32" i="30"/>
  <c r="M26" i="30" s="1"/>
  <c r="T32" i="30"/>
  <c r="M24" i="30" s="1"/>
  <c r="R29" i="7"/>
  <c r="S29" i="7" s="1"/>
  <c r="S29" i="6"/>
  <c r="T29" i="6" s="1"/>
  <c r="U27" i="72"/>
  <c r="S27" i="72"/>
  <c r="G50" i="62"/>
  <c r="S30" i="6"/>
  <c r="S31" i="6" s="1"/>
  <c r="Q19" i="80"/>
  <c r="R19" i="80" s="1"/>
  <c r="S19" i="80" s="1"/>
  <c r="Q31" i="80"/>
  <c r="Q29" i="80"/>
  <c r="R15" i="80"/>
  <c r="R9" i="80" s="1"/>
  <c r="Q22" i="80"/>
  <c r="Q27" i="80"/>
  <c r="Q24" i="80"/>
  <c r="T26" i="72"/>
  <c r="R29" i="72"/>
  <c r="U29" i="72" s="1"/>
  <c r="R28" i="72"/>
  <c r="Q20" i="80"/>
  <c r="Q23" i="80"/>
  <c r="S15" i="80"/>
  <c r="S9" i="80" s="1"/>
  <c r="Q25" i="80"/>
  <c r="Q30" i="80"/>
  <c r="S28" i="55"/>
  <c r="U28" i="55"/>
  <c r="R30" i="55"/>
  <c r="U30" i="55" s="1"/>
  <c r="T27" i="7"/>
  <c r="U27" i="7"/>
  <c r="G50" i="18"/>
  <c r="T15" i="80"/>
  <c r="T9" i="80" s="1"/>
  <c r="Q26" i="80"/>
  <c r="Q21" i="80"/>
  <c r="S23" i="3"/>
  <c r="V23" i="3" s="1"/>
  <c r="S22" i="3"/>
  <c r="U22" i="3" s="1"/>
  <c r="M14" i="31"/>
  <c r="M17" i="31" s="1"/>
  <c r="R26" i="54"/>
  <c r="R27" i="54" s="1"/>
  <c r="S24" i="54"/>
  <c r="T24" i="54"/>
  <c r="M13" i="54"/>
  <c r="M14" i="54" s="1"/>
  <c r="N10" i="54"/>
  <c r="N11" i="54" s="1"/>
  <c r="L14" i="54"/>
  <c r="L17" i="54" s="1"/>
  <c r="Q26" i="78"/>
  <c r="Q35" i="78"/>
  <c r="R19" i="78"/>
  <c r="R9" i="78" s="1"/>
  <c r="Q33" i="78"/>
  <c r="Q23" i="78"/>
  <c r="R23" i="78" s="1"/>
  <c r="S23" i="78" s="1"/>
  <c r="Q31" i="78"/>
  <c r="Q28" i="78"/>
  <c r="S19" i="78"/>
  <c r="S9" i="78" s="1"/>
  <c r="Q27" i="78"/>
  <c r="Q24" i="78"/>
  <c r="R24" i="78" s="1"/>
  <c r="T24" i="78" s="1"/>
  <c r="Q29" i="78"/>
  <c r="Q34" i="78"/>
  <c r="T19" i="78"/>
  <c r="T9" i="78" s="1"/>
  <c r="Q25" i="78"/>
  <c r="R25" i="78" s="1"/>
  <c r="U25" i="78" s="1"/>
  <c r="Q30" i="78"/>
  <c r="R28" i="31"/>
  <c r="U17" i="31"/>
  <c r="U9" i="31" s="1"/>
  <c r="R23" i="31"/>
  <c r="R26" i="31"/>
  <c r="R21" i="31"/>
  <c r="S21" i="31" s="1"/>
  <c r="T21" i="31" s="1"/>
  <c r="R29" i="31"/>
  <c r="R32" i="31"/>
  <c r="S17" i="31"/>
  <c r="S9" i="31" s="1"/>
  <c r="R30" i="31"/>
  <c r="R24" i="31"/>
  <c r="R25" i="31"/>
  <c r="T17" i="31"/>
  <c r="T9" i="31" s="1"/>
  <c r="R31" i="31"/>
  <c r="R22" i="31"/>
  <c r="R27" i="31"/>
  <c r="R25" i="53"/>
  <c r="U25" i="53" s="1"/>
  <c r="M13" i="53"/>
  <c r="M18" i="53" s="1"/>
  <c r="L18" i="53"/>
  <c r="L19" i="53" s="1"/>
  <c r="R24" i="53"/>
  <c r="T24" i="53" s="1"/>
  <c r="U22" i="4" l="1"/>
  <c r="S24" i="4"/>
  <c r="F28" i="86"/>
  <c r="G28" i="86" s="1"/>
  <c r="D36" i="86"/>
  <c r="K36" i="86" s="1"/>
  <c r="D38" i="86"/>
  <c r="K38" i="86" s="1"/>
  <c r="E39" i="86"/>
  <c r="C37" i="86"/>
  <c r="B37" i="86"/>
  <c r="I37" i="86" s="1"/>
  <c r="N30" i="86"/>
  <c r="C39" i="86"/>
  <c r="E37" i="86"/>
  <c r="B39" i="86"/>
  <c r="I39" i="86" s="1"/>
  <c r="C36" i="86"/>
  <c r="E36" i="86"/>
  <c r="E38" i="86"/>
  <c r="C38" i="86"/>
  <c r="F36" i="85"/>
  <c r="G36" i="85" s="1"/>
  <c r="J36" i="85"/>
  <c r="K36" i="85"/>
  <c r="D39" i="85"/>
  <c r="D37" i="85"/>
  <c r="F37" i="85" s="1"/>
  <c r="G37" i="85" s="1"/>
  <c r="J38" i="85"/>
  <c r="K38" i="85"/>
  <c r="J62" i="58"/>
  <c r="N62" i="58" s="1"/>
  <c r="A62" i="58" s="1"/>
  <c r="G52" i="47"/>
  <c r="G57" i="48"/>
  <c r="F52" i="47"/>
  <c r="J58" i="46"/>
  <c r="N58" i="46" s="1"/>
  <c r="A58" i="46" s="1"/>
  <c r="J63" i="34"/>
  <c r="N63" i="34" s="1"/>
  <c r="A63" i="34" s="1"/>
  <c r="J63" i="61"/>
  <c r="M63" i="61" s="1"/>
  <c r="A63" i="61" s="1"/>
  <c r="F25" i="17"/>
  <c r="G25" i="17" s="1"/>
  <c r="G62" i="17" s="1"/>
  <c r="F28" i="5"/>
  <c r="G28" i="5" s="1"/>
  <c r="F30" i="72"/>
  <c r="G30" i="72" s="1"/>
  <c r="F28" i="31"/>
  <c r="G28" i="31" s="1"/>
  <c r="F25" i="19"/>
  <c r="G25" i="19" s="1"/>
  <c r="G60" i="19" s="1"/>
  <c r="K63" i="18"/>
  <c r="N63" i="18" s="1"/>
  <c r="A63" i="18" s="1"/>
  <c r="F26" i="8"/>
  <c r="G26" i="8" s="1"/>
  <c r="G61" i="8" s="1"/>
  <c r="F29" i="72"/>
  <c r="G29" i="72" s="1"/>
  <c r="G55" i="46"/>
  <c r="F25" i="56"/>
  <c r="G25" i="56" s="1"/>
  <c r="G60" i="56" s="1"/>
  <c r="J69" i="78"/>
  <c r="M69" i="78" s="1"/>
  <c r="A69" i="78" s="1"/>
  <c r="J62" i="33"/>
  <c r="N62" i="33" s="1"/>
  <c r="A62" i="33" s="1"/>
  <c r="J59" i="81"/>
  <c r="M59" i="81" s="1"/>
  <c r="A59" i="81" s="1"/>
  <c r="J55" i="47"/>
  <c r="N55" i="47" s="1"/>
  <c r="A55" i="47" s="1"/>
  <c r="K63" i="19"/>
  <c r="N63" i="19" s="1"/>
  <c r="A63" i="19" s="1"/>
  <c r="G60" i="61"/>
  <c r="F28" i="71"/>
  <c r="G28" i="71" s="1"/>
  <c r="F25" i="18"/>
  <c r="G25" i="18" s="1"/>
  <c r="G60" i="18" s="1"/>
  <c r="F31" i="72"/>
  <c r="G31" i="72" s="1"/>
  <c r="J61" i="44"/>
  <c r="N61" i="44" s="1"/>
  <c r="A61" i="44" s="1"/>
  <c r="J60" i="48"/>
  <c r="N60" i="48" s="1"/>
  <c r="A60" i="48" s="1"/>
  <c r="J65" i="17"/>
  <c r="N65" i="17" s="1"/>
  <c r="A65" i="17" s="1"/>
  <c r="J59" i="80"/>
  <c r="M59" i="80" s="1"/>
  <c r="A59" i="80" s="1"/>
  <c r="F28" i="6"/>
  <c r="G28" i="6" s="1"/>
  <c r="J72" i="37"/>
  <c r="M72" i="37" s="1"/>
  <c r="A72" i="37" s="1"/>
  <c r="J63" i="62"/>
  <c r="N63" i="62" s="1"/>
  <c r="A63" i="62" s="1"/>
  <c r="J64" i="74"/>
  <c r="M64" i="74" s="1"/>
  <c r="A64" i="74" s="1"/>
  <c r="K63" i="56"/>
  <c r="N63" i="56" s="1"/>
  <c r="A63" i="56" s="1"/>
  <c r="G27" i="37"/>
  <c r="G69" i="37" s="1"/>
  <c r="F69" i="37"/>
  <c r="K62" i="70"/>
  <c r="N62" i="70" s="1"/>
  <c r="A62" i="70" s="1"/>
  <c r="F61" i="74"/>
  <c r="G27" i="74"/>
  <c r="G61" i="74" s="1"/>
  <c r="J62" i="20"/>
  <c r="N62" i="20" s="1"/>
  <c r="A62" i="20" s="1"/>
  <c r="G56" i="81"/>
  <c r="G56" i="80"/>
  <c r="G59" i="58"/>
  <c r="G59" i="70"/>
  <c r="F60" i="34"/>
  <c r="F59" i="20"/>
  <c r="G60" i="34"/>
  <c r="F59" i="70"/>
  <c r="F56" i="81"/>
  <c r="G58" i="44"/>
  <c r="F59" i="33"/>
  <c r="F60" i="61"/>
  <c r="F56" i="80"/>
  <c r="F55" i="46"/>
  <c r="G59" i="33"/>
  <c r="F60" i="62"/>
  <c r="F59" i="58"/>
  <c r="F58" i="44"/>
  <c r="F57" i="48"/>
  <c r="G60" i="62"/>
  <c r="G59" i="20"/>
  <c r="M29" i="71"/>
  <c r="M27" i="71"/>
  <c r="R26" i="51"/>
  <c r="R27" i="51" s="1"/>
  <c r="R20" i="80"/>
  <c r="T20" i="80" s="1"/>
  <c r="R21" i="80"/>
  <c r="U21" i="80" s="1"/>
  <c r="R22" i="81"/>
  <c r="S22" i="81" s="1"/>
  <c r="U31" i="6"/>
  <c r="S32" i="6"/>
  <c r="V28" i="5"/>
  <c r="S29" i="5"/>
  <c r="T29" i="5" s="1"/>
  <c r="U28" i="72"/>
  <c r="T28" i="72"/>
  <c r="R31" i="55"/>
  <c r="S31" i="55" s="1"/>
  <c r="R30" i="72"/>
  <c r="M29" i="30"/>
  <c r="M27" i="30"/>
  <c r="U27" i="5"/>
  <c r="V27" i="5"/>
  <c r="R31" i="7"/>
  <c r="R33" i="55"/>
  <c r="T30" i="6"/>
  <c r="U30" i="6"/>
  <c r="M25" i="6" s="1"/>
  <c r="S24" i="3"/>
  <c r="S25" i="3" s="1"/>
  <c r="S23" i="31"/>
  <c r="V23" i="31" s="1"/>
  <c r="U27" i="54"/>
  <c r="T27" i="54"/>
  <c r="S26" i="54"/>
  <c r="U26" i="54"/>
  <c r="R28" i="54"/>
  <c r="U28" i="54" s="1"/>
  <c r="R26" i="78"/>
  <c r="S22" i="31"/>
  <c r="U22" i="31" s="1"/>
  <c r="R26" i="53"/>
  <c r="T26" i="53" s="1"/>
  <c r="U24" i="4" l="1"/>
  <c r="T24" i="4"/>
  <c r="S25" i="4"/>
  <c r="U25" i="4" s="1"/>
  <c r="F38" i="86"/>
  <c r="G38" i="86" s="1"/>
  <c r="D39" i="86"/>
  <c r="K39" i="86" s="1"/>
  <c r="D37" i="86"/>
  <c r="K37" i="86" s="1"/>
  <c r="F36" i="86"/>
  <c r="K37" i="85"/>
  <c r="J37" i="85"/>
  <c r="J39" i="85"/>
  <c r="K39" i="85"/>
  <c r="F39" i="85"/>
  <c r="G39" i="85" s="1"/>
  <c r="G66" i="85" s="1"/>
  <c r="F60" i="56"/>
  <c r="F60" i="19"/>
  <c r="F62" i="17"/>
  <c r="F61" i="8"/>
  <c r="F60" i="18"/>
  <c r="M30" i="71"/>
  <c r="N29" i="71"/>
  <c r="T27" i="51"/>
  <c r="S27" i="51"/>
  <c r="R28" i="51"/>
  <c r="T28" i="51" s="1"/>
  <c r="U26" i="51"/>
  <c r="R23" i="81"/>
  <c r="T23" i="81" s="1"/>
  <c r="R22" i="80"/>
  <c r="R23" i="80" s="1"/>
  <c r="T23" i="80" s="1"/>
  <c r="T22" i="81"/>
  <c r="R24" i="80"/>
  <c r="S33" i="55"/>
  <c r="T33" i="55"/>
  <c r="R34" i="55"/>
  <c r="T34" i="55" s="1"/>
  <c r="L27" i="55" s="1"/>
  <c r="T32" i="6"/>
  <c r="M24" i="6" s="1"/>
  <c r="V32" i="6"/>
  <c r="M26" i="6" s="1"/>
  <c r="U24" i="3"/>
  <c r="T31" i="7"/>
  <c r="S31" i="7"/>
  <c r="R32" i="7"/>
  <c r="T32" i="7" s="1"/>
  <c r="N29" i="30"/>
  <c r="M30" i="30"/>
  <c r="B38" i="30"/>
  <c r="I38" i="30" s="1"/>
  <c r="B36" i="30"/>
  <c r="I36" i="30" s="1"/>
  <c r="S30" i="72"/>
  <c r="R31" i="72"/>
  <c r="R35" i="55"/>
  <c r="S30" i="5"/>
  <c r="U25" i="3"/>
  <c r="S26" i="3"/>
  <c r="T26" i="3" s="1"/>
  <c r="T24" i="3"/>
  <c r="R29" i="54"/>
  <c r="T26" i="78"/>
  <c r="R27" i="78"/>
  <c r="S26" i="78"/>
  <c r="S24" i="31"/>
  <c r="S25" i="31" s="1"/>
  <c r="U25" i="31" s="1"/>
  <c r="S26" i="53"/>
  <c r="R27" i="53"/>
  <c r="R28" i="53" s="1"/>
  <c r="S26" i="4" l="1"/>
  <c r="S27" i="4" s="1"/>
  <c r="T26" i="4"/>
  <c r="V26" i="4"/>
  <c r="K71" i="86"/>
  <c r="N71" i="86" s="1"/>
  <c r="A71" i="86" s="1"/>
  <c r="F39" i="86"/>
  <c r="G39" i="86" s="1"/>
  <c r="G36" i="86"/>
  <c r="F37" i="86"/>
  <c r="G37" i="86" s="1"/>
  <c r="K73" i="85"/>
  <c r="N73" i="85" s="1"/>
  <c r="A69" i="85" s="1"/>
  <c r="F66" i="85"/>
  <c r="S22" i="80"/>
  <c r="D36" i="71"/>
  <c r="D38" i="71"/>
  <c r="E37" i="71"/>
  <c r="C39" i="71"/>
  <c r="N30" i="71"/>
  <c r="C37" i="71"/>
  <c r="B39" i="71"/>
  <c r="I39" i="71" s="1"/>
  <c r="E39" i="71"/>
  <c r="B37" i="71"/>
  <c r="I37" i="71" s="1"/>
  <c r="R29" i="51"/>
  <c r="R30" i="51" s="1"/>
  <c r="R24" i="81"/>
  <c r="S24" i="81" s="1"/>
  <c r="T22" i="80"/>
  <c r="U35" i="55"/>
  <c r="L28" i="55" s="1"/>
  <c r="S35" i="55"/>
  <c r="L26" i="55" s="1"/>
  <c r="D36" i="30"/>
  <c r="D38" i="30"/>
  <c r="M27" i="6"/>
  <c r="M29" i="6"/>
  <c r="C36" i="30"/>
  <c r="E36" i="30"/>
  <c r="U24" i="80"/>
  <c r="S24" i="80"/>
  <c r="R25" i="80"/>
  <c r="R26" i="80" s="1"/>
  <c r="U26" i="80" s="1"/>
  <c r="R43" i="7"/>
  <c r="E38" i="30"/>
  <c r="C38" i="30"/>
  <c r="V26" i="3"/>
  <c r="U30" i="5"/>
  <c r="M25" i="5" s="1"/>
  <c r="T30" i="5"/>
  <c r="S32" i="5"/>
  <c r="S31" i="5"/>
  <c r="U31" i="5" s="1"/>
  <c r="T31" i="72"/>
  <c r="S31" i="72"/>
  <c r="B37" i="30"/>
  <c r="B39" i="30"/>
  <c r="N30" i="30"/>
  <c r="C39" i="30"/>
  <c r="L25" i="7"/>
  <c r="R32" i="72"/>
  <c r="S27" i="3"/>
  <c r="U27" i="3" s="1"/>
  <c r="S29" i="54"/>
  <c r="R31" i="54"/>
  <c r="R32" i="54" s="1"/>
  <c r="T32" i="54" s="1"/>
  <c r="R28" i="78"/>
  <c r="T27" i="78"/>
  <c r="S26" i="31"/>
  <c r="U24" i="31"/>
  <c r="T24" i="31"/>
  <c r="T27" i="53"/>
  <c r="U28" i="53"/>
  <c r="S28" i="53"/>
  <c r="R29" i="53"/>
  <c r="S28" i="4" l="1"/>
  <c r="V28" i="4" s="1"/>
  <c r="V27" i="4"/>
  <c r="U27" i="4"/>
  <c r="S29" i="4"/>
  <c r="E39" i="30"/>
  <c r="I39" i="30"/>
  <c r="C37" i="30"/>
  <c r="I37" i="30"/>
  <c r="F68" i="86"/>
  <c r="G68" i="86"/>
  <c r="F36" i="30"/>
  <c r="G36" i="30" s="1"/>
  <c r="K38" i="71"/>
  <c r="F38" i="71"/>
  <c r="G38" i="71" s="1"/>
  <c r="D37" i="71"/>
  <c r="K37" i="71" s="1"/>
  <c r="D39" i="71"/>
  <c r="K39" i="71" s="1"/>
  <c r="K36" i="71"/>
  <c r="F36" i="71"/>
  <c r="F38" i="30"/>
  <c r="G38" i="30" s="1"/>
  <c r="V27" i="3"/>
  <c r="S29" i="51"/>
  <c r="U29" i="51"/>
  <c r="U30" i="51"/>
  <c r="T30" i="51"/>
  <c r="R31" i="51"/>
  <c r="U31" i="51" s="1"/>
  <c r="U24" i="81"/>
  <c r="R25" i="81"/>
  <c r="R26" i="81" s="1"/>
  <c r="U26" i="81" s="1"/>
  <c r="T25" i="81"/>
  <c r="V32" i="5"/>
  <c r="M26" i="5" s="1"/>
  <c r="T32" i="5"/>
  <c r="M24" i="5" s="1"/>
  <c r="U25" i="80"/>
  <c r="T25" i="80"/>
  <c r="R27" i="80"/>
  <c r="N29" i="6"/>
  <c r="M30" i="6"/>
  <c r="T32" i="72"/>
  <c r="R33" i="72"/>
  <c r="E37" i="30"/>
  <c r="L29" i="55"/>
  <c r="L31" i="55"/>
  <c r="D37" i="30"/>
  <c r="D39" i="30"/>
  <c r="L26" i="72"/>
  <c r="J38" i="30"/>
  <c r="K38" i="30"/>
  <c r="U43" i="7"/>
  <c r="L26" i="7" s="1"/>
  <c r="S43" i="7"/>
  <c r="L24" i="7" s="1"/>
  <c r="J36" i="30"/>
  <c r="K36" i="30"/>
  <c r="S28" i="3"/>
  <c r="S29" i="3"/>
  <c r="T29" i="3" s="1"/>
  <c r="T31" i="54"/>
  <c r="L25" i="54" s="1"/>
  <c r="S31" i="54"/>
  <c r="R43" i="54"/>
  <c r="U28" i="78"/>
  <c r="S28" i="78"/>
  <c r="R29" i="78"/>
  <c r="S27" i="31"/>
  <c r="S28" i="31" s="1"/>
  <c r="V28" i="31" s="1"/>
  <c r="V26" i="31"/>
  <c r="T26" i="31"/>
  <c r="U29" i="53"/>
  <c r="T29" i="53"/>
  <c r="R30" i="53"/>
  <c r="U30" i="53" s="1"/>
  <c r="T29" i="4" l="1"/>
  <c r="S30" i="4"/>
  <c r="F39" i="30"/>
  <c r="G39" i="30" s="1"/>
  <c r="F37" i="30"/>
  <c r="G37" i="30" s="1"/>
  <c r="G67" i="30" s="1"/>
  <c r="K70" i="71"/>
  <c r="N70" i="71" s="1"/>
  <c r="A70" i="71" s="1"/>
  <c r="F39" i="71"/>
  <c r="G39" i="71" s="1"/>
  <c r="G36" i="71"/>
  <c r="F37" i="71"/>
  <c r="G37" i="71" s="1"/>
  <c r="R32" i="51"/>
  <c r="S32" i="51" s="1"/>
  <c r="R27" i="81"/>
  <c r="S27" i="81" s="1"/>
  <c r="U25" i="81"/>
  <c r="R29" i="81"/>
  <c r="J37" i="30"/>
  <c r="K37" i="30"/>
  <c r="L29" i="7"/>
  <c r="L27" i="7"/>
  <c r="M29" i="5"/>
  <c r="M27" i="5"/>
  <c r="B39" i="6"/>
  <c r="I39" i="6" s="1"/>
  <c r="B37" i="6"/>
  <c r="I37" i="6" s="1"/>
  <c r="N30" i="6"/>
  <c r="E37" i="6"/>
  <c r="C39" i="6"/>
  <c r="C37" i="6"/>
  <c r="E39" i="6"/>
  <c r="D38" i="6"/>
  <c r="D36" i="6"/>
  <c r="S27" i="80"/>
  <c r="R29" i="80"/>
  <c r="K39" i="30"/>
  <c r="J39" i="30"/>
  <c r="B40" i="55"/>
  <c r="I40" i="55" s="1"/>
  <c r="L33" i="55"/>
  <c r="B38" i="55"/>
  <c r="I38" i="55" s="1"/>
  <c r="M31" i="55"/>
  <c r="S33" i="72"/>
  <c r="L25" i="72" s="1"/>
  <c r="U33" i="72"/>
  <c r="L27" i="72" s="1"/>
  <c r="V28" i="3"/>
  <c r="S30" i="3"/>
  <c r="U43" i="54"/>
  <c r="L26" i="54" s="1"/>
  <c r="S43" i="54"/>
  <c r="L24" i="54" s="1"/>
  <c r="R30" i="78"/>
  <c r="U30" i="78" s="1"/>
  <c r="T29" i="78"/>
  <c r="U29" i="78"/>
  <c r="U27" i="31"/>
  <c r="V27" i="31"/>
  <c r="S29" i="31"/>
  <c r="T29" i="31" s="1"/>
  <c r="R31" i="53"/>
  <c r="S31" i="53" s="1"/>
  <c r="T30" i="4" l="1"/>
  <c r="U30" i="4"/>
  <c r="S31" i="4"/>
  <c r="U31" i="4" s="1"/>
  <c r="M25" i="4" s="1"/>
  <c r="F67" i="30"/>
  <c r="F67" i="71"/>
  <c r="G67" i="71"/>
  <c r="R34" i="51"/>
  <c r="S29" i="81"/>
  <c r="R30" i="81"/>
  <c r="T30" i="81" s="1"/>
  <c r="T29" i="81"/>
  <c r="K70" i="30"/>
  <c r="N70" i="30" s="1"/>
  <c r="A70" i="30" s="1"/>
  <c r="B41" i="55"/>
  <c r="I41" i="55" s="1"/>
  <c r="E41" i="55"/>
  <c r="E39" i="55"/>
  <c r="C41" i="55"/>
  <c r="M33" i="55"/>
  <c r="B39" i="55"/>
  <c r="I39" i="55" s="1"/>
  <c r="C39" i="55"/>
  <c r="F38" i="6"/>
  <c r="G38" i="6" s="1"/>
  <c r="K38" i="6"/>
  <c r="D37" i="6"/>
  <c r="K37" i="6" s="1"/>
  <c r="D39" i="6"/>
  <c r="K39" i="6" s="1"/>
  <c r="B38" i="5"/>
  <c r="I38" i="5" s="1"/>
  <c r="N29" i="5"/>
  <c r="B36" i="5"/>
  <c r="I36" i="5" s="1"/>
  <c r="M30" i="5"/>
  <c r="L28" i="72"/>
  <c r="L30" i="72"/>
  <c r="C40" i="55"/>
  <c r="E40" i="55"/>
  <c r="S29" i="80"/>
  <c r="T29" i="80"/>
  <c r="R30" i="80"/>
  <c r="T30" i="80" s="1"/>
  <c r="B38" i="7"/>
  <c r="I38" i="7" s="1"/>
  <c r="L31" i="7"/>
  <c r="B36" i="7"/>
  <c r="I36" i="7" s="1"/>
  <c r="M29" i="7"/>
  <c r="D38" i="55"/>
  <c r="J38" i="55" s="1"/>
  <c r="D40" i="55"/>
  <c r="J40" i="55" s="1"/>
  <c r="C38" i="55"/>
  <c r="E38" i="55"/>
  <c r="F36" i="6"/>
  <c r="K36" i="6"/>
  <c r="S31" i="3"/>
  <c r="U31" i="3" s="1"/>
  <c r="T30" i="3"/>
  <c r="U30" i="3"/>
  <c r="S32" i="3"/>
  <c r="S30" i="31"/>
  <c r="T30" i="31" s="1"/>
  <c r="L27" i="54"/>
  <c r="L29" i="54"/>
  <c r="R31" i="78"/>
  <c r="R33" i="78" s="1"/>
  <c r="R33" i="53"/>
  <c r="T33" i="53" s="1"/>
  <c r="S32" i="4" l="1"/>
  <c r="F37" i="6"/>
  <c r="G37" i="6" s="1"/>
  <c r="F38" i="55"/>
  <c r="G38" i="55" s="1"/>
  <c r="T34" i="51"/>
  <c r="S34" i="51"/>
  <c r="R35" i="51"/>
  <c r="T35" i="51" s="1"/>
  <c r="L23" i="80"/>
  <c r="L23" i="81"/>
  <c r="R31" i="81"/>
  <c r="K69" i="6"/>
  <c r="N69" i="6" s="1"/>
  <c r="A69" i="6" s="1"/>
  <c r="E38" i="7"/>
  <c r="C38" i="7"/>
  <c r="C38" i="5"/>
  <c r="E38" i="5"/>
  <c r="D39" i="55"/>
  <c r="J39" i="55" s="1"/>
  <c r="D41" i="55"/>
  <c r="J41" i="55" s="1"/>
  <c r="G36" i="6"/>
  <c r="M25" i="3"/>
  <c r="D36" i="7"/>
  <c r="J36" i="7" s="1"/>
  <c r="D38" i="7"/>
  <c r="J38" i="7" s="1"/>
  <c r="R31" i="80"/>
  <c r="F40" i="55"/>
  <c r="G40" i="55" s="1"/>
  <c r="M30" i="72"/>
  <c r="L31" i="72"/>
  <c r="M31" i="72" s="1"/>
  <c r="E37" i="5"/>
  <c r="B39" i="5"/>
  <c r="I39" i="5" s="1"/>
  <c r="E39" i="5"/>
  <c r="B37" i="5"/>
  <c r="I37" i="5" s="1"/>
  <c r="C39" i="5"/>
  <c r="N30" i="5"/>
  <c r="C37" i="5"/>
  <c r="E36" i="7"/>
  <c r="C36" i="7"/>
  <c r="E36" i="5"/>
  <c r="C36" i="5"/>
  <c r="E37" i="7"/>
  <c r="C37" i="7"/>
  <c r="B37" i="7"/>
  <c r="I37" i="7" s="1"/>
  <c r="M31" i="7"/>
  <c r="B39" i="7"/>
  <c r="I39" i="7" s="1"/>
  <c r="C39" i="7"/>
  <c r="E39" i="7"/>
  <c r="D36" i="5"/>
  <c r="K36" i="5" s="1"/>
  <c r="D38" i="5"/>
  <c r="K38" i="5" s="1"/>
  <c r="F39" i="6"/>
  <c r="G39" i="6" s="1"/>
  <c r="T32" i="3"/>
  <c r="M24" i="3" s="1"/>
  <c r="V32" i="3"/>
  <c r="M26" i="3" s="1"/>
  <c r="U30" i="31"/>
  <c r="S31" i="31"/>
  <c r="U31" i="31" s="1"/>
  <c r="M29" i="54"/>
  <c r="B36" i="54"/>
  <c r="I36" i="54" s="1"/>
  <c r="B38" i="54"/>
  <c r="I38" i="54" s="1"/>
  <c r="L31" i="54"/>
  <c r="S33" i="78"/>
  <c r="T33" i="78"/>
  <c r="R34" i="78"/>
  <c r="T34" i="78" s="1"/>
  <c r="L27" i="78" s="1"/>
  <c r="S31" i="78"/>
  <c r="R34" i="53"/>
  <c r="T34" i="53" s="1"/>
  <c r="L27" i="53" s="1"/>
  <c r="S33" i="53"/>
  <c r="T32" i="4" l="1"/>
  <c r="M24" i="4" s="1"/>
  <c r="V32" i="4"/>
  <c r="M26" i="4" s="1"/>
  <c r="F39" i="55"/>
  <c r="G39" i="55" s="1"/>
  <c r="F41" i="55"/>
  <c r="G41" i="55" s="1"/>
  <c r="F36" i="5"/>
  <c r="G36" i="5" s="1"/>
  <c r="F36" i="7"/>
  <c r="G36" i="7" s="1"/>
  <c r="L28" i="51"/>
  <c r="R36" i="51"/>
  <c r="S31" i="81"/>
  <c r="L22" i="81" s="1"/>
  <c r="U31" i="81"/>
  <c r="L24" i="81" s="1"/>
  <c r="J68" i="55"/>
  <c r="M68" i="55" s="1"/>
  <c r="A68" i="55" s="1"/>
  <c r="D37" i="7"/>
  <c r="J37" i="7" s="1"/>
  <c r="D39" i="7"/>
  <c r="J39" i="7" s="1"/>
  <c r="U31" i="80"/>
  <c r="L24" i="80" s="1"/>
  <c r="S31" i="80"/>
  <c r="L22" i="80" s="1"/>
  <c r="F66" i="6"/>
  <c r="F38" i="5"/>
  <c r="G38" i="5" s="1"/>
  <c r="D37" i="72"/>
  <c r="D38" i="72"/>
  <c r="G66" i="6"/>
  <c r="F38" i="7"/>
  <c r="G38" i="7" s="1"/>
  <c r="M25" i="31"/>
  <c r="D37" i="5"/>
  <c r="K37" i="5" s="1"/>
  <c r="D39" i="5"/>
  <c r="K39" i="5" s="1"/>
  <c r="M29" i="3"/>
  <c r="M27" i="3"/>
  <c r="R35" i="53"/>
  <c r="S35" i="53" s="1"/>
  <c r="L26" i="53" s="1"/>
  <c r="S32" i="31"/>
  <c r="T32" i="31" s="1"/>
  <c r="M24" i="31" s="1"/>
  <c r="M29" i="31" s="1"/>
  <c r="B38" i="31" s="1"/>
  <c r="I38" i="31" s="1"/>
  <c r="E38" i="54"/>
  <c r="C38" i="54"/>
  <c r="E36" i="54"/>
  <c r="C36" i="54"/>
  <c r="B37" i="54"/>
  <c r="B39" i="54"/>
  <c r="M31" i="54"/>
  <c r="D36" i="54"/>
  <c r="J36" i="54" s="1"/>
  <c r="D38" i="54"/>
  <c r="J38" i="54" s="1"/>
  <c r="R35" i="78"/>
  <c r="M29" i="4" l="1"/>
  <c r="M27" i="4"/>
  <c r="C39" i="54"/>
  <c r="I39" i="54"/>
  <c r="C37" i="54"/>
  <c r="I37" i="54"/>
  <c r="C38" i="31"/>
  <c r="B36" i="31"/>
  <c r="G65" i="55"/>
  <c r="F65" i="55"/>
  <c r="F39" i="7"/>
  <c r="G39" i="7" s="1"/>
  <c r="F37" i="7"/>
  <c r="G37" i="7" s="1"/>
  <c r="U36" i="51"/>
  <c r="L29" i="51" s="1"/>
  <c r="S36" i="51"/>
  <c r="L27" i="51" s="1"/>
  <c r="L27" i="81"/>
  <c r="L25" i="81"/>
  <c r="J71" i="7"/>
  <c r="M71" i="7" s="1"/>
  <c r="A71" i="7" s="1"/>
  <c r="K69" i="5"/>
  <c r="N69" i="5" s="1"/>
  <c r="A69" i="5" s="1"/>
  <c r="J38" i="72"/>
  <c r="F38" i="72"/>
  <c r="G38" i="72" s="1"/>
  <c r="J37" i="72"/>
  <c r="F37" i="72"/>
  <c r="F37" i="5"/>
  <c r="F39" i="5"/>
  <c r="G39" i="5" s="1"/>
  <c r="L25" i="80"/>
  <c r="L27" i="80"/>
  <c r="E39" i="54"/>
  <c r="E37" i="54"/>
  <c r="B38" i="3"/>
  <c r="I38" i="3" s="1"/>
  <c r="B36" i="3"/>
  <c r="I36" i="3" s="1"/>
  <c r="M30" i="3"/>
  <c r="N29" i="3"/>
  <c r="U35" i="53"/>
  <c r="L28" i="53" s="1"/>
  <c r="L29" i="53" s="1"/>
  <c r="V32" i="31"/>
  <c r="M26" i="31" s="1"/>
  <c r="M27" i="31" s="1"/>
  <c r="F36" i="54"/>
  <c r="D37" i="54"/>
  <c r="J37" i="54" s="1"/>
  <c r="D39" i="54"/>
  <c r="J39" i="54" s="1"/>
  <c r="F38" i="54"/>
  <c r="G38" i="54" s="1"/>
  <c r="S35" i="78"/>
  <c r="L26" i="78" s="1"/>
  <c r="U35" i="78"/>
  <c r="L28" i="78" s="1"/>
  <c r="M30" i="31"/>
  <c r="L31" i="53"/>
  <c r="M30" i="4" l="1"/>
  <c r="N29" i="4"/>
  <c r="B36" i="4"/>
  <c r="B38" i="4"/>
  <c r="N29" i="31"/>
  <c r="C36" i="31"/>
  <c r="I36" i="31"/>
  <c r="G68" i="7"/>
  <c r="F68" i="7"/>
  <c r="F37" i="54"/>
  <c r="G37" i="54" s="1"/>
  <c r="C37" i="31"/>
  <c r="C39" i="31"/>
  <c r="L32" i="51"/>
  <c r="L30" i="51"/>
  <c r="L29" i="81"/>
  <c r="M29" i="81" s="1"/>
  <c r="M27" i="81"/>
  <c r="J65" i="72"/>
  <c r="M65" i="72" s="1"/>
  <c r="A65" i="72" s="1"/>
  <c r="G37" i="5"/>
  <c r="G66" i="5" s="1"/>
  <c r="F66" i="5"/>
  <c r="M27" i="80"/>
  <c r="L29" i="80"/>
  <c r="M29" i="80" s="1"/>
  <c r="G37" i="72"/>
  <c r="G62" i="72" s="1"/>
  <c r="F62" i="72"/>
  <c r="J70" i="54"/>
  <c r="M70" i="54" s="1"/>
  <c r="A70" i="54" s="1"/>
  <c r="D36" i="3"/>
  <c r="K36" i="3" s="1"/>
  <c r="D38" i="3"/>
  <c r="K38" i="3" s="1"/>
  <c r="C37" i="3"/>
  <c r="E39" i="3"/>
  <c r="E37" i="3"/>
  <c r="C39" i="3"/>
  <c r="B37" i="3"/>
  <c r="I37" i="3" s="1"/>
  <c r="B39" i="3"/>
  <c r="I39" i="3" s="1"/>
  <c r="N30" i="3"/>
  <c r="E36" i="3"/>
  <c r="C36" i="3"/>
  <c r="E38" i="3"/>
  <c r="C38" i="3"/>
  <c r="G36" i="54"/>
  <c r="F39" i="54"/>
  <c r="G39" i="54" s="1"/>
  <c r="L31" i="78"/>
  <c r="L29" i="78"/>
  <c r="D38" i="31"/>
  <c r="K38" i="31" s="1"/>
  <c r="D36" i="31"/>
  <c r="K36" i="31" s="1"/>
  <c r="E36" i="31"/>
  <c r="E37" i="31"/>
  <c r="B39" i="31"/>
  <c r="I39" i="31" s="1"/>
  <c r="B37" i="31"/>
  <c r="I37" i="31" s="1"/>
  <c r="E39" i="31"/>
  <c r="N30" i="31"/>
  <c r="E38" i="31"/>
  <c r="F38" i="31" s="1"/>
  <c r="G38" i="31" s="1"/>
  <c r="B38" i="53"/>
  <c r="I38" i="53" s="1"/>
  <c r="L33" i="53"/>
  <c r="B40" i="53"/>
  <c r="I40" i="53" s="1"/>
  <c r="M31" i="53"/>
  <c r="E39" i="4" l="1"/>
  <c r="E37" i="4"/>
  <c r="I38" i="4"/>
  <c r="E38" i="4"/>
  <c r="C38" i="4"/>
  <c r="I36" i="4"/>
  <c r="E36" i="4"/>
  <c r="F36" i="4" s="1"/>
  <c r="C36" i="4"/>
  <c r="D36" i="4"/>
  <c r="D38" i="4"/>
  <c r="N30" i="4"/>
  <c r="C39" i="4"/>
  <c r="B37" i="4"/>
  <c r="I37" i="4" s="1"/>
  <c r="B39" i="4"/>
  <c r="I39" i="4" s="1"/>
  <c r="F38" i="3"/>
  <c r="G38" i="3" s="1"/>
  <c r="F36" i="3"/>
  <c r="G36" i="3" s="1"/>
  <c r="L34" i="51"/>
  <c r="B42" i="51"/>
  <c r="I42" i="51" s="1"/>
  <c r="B40" i="51"/>
  <c r="I40" i="51" s="1"/>
  <c r="M32" i="51"/>
  <c r="D37" i="3"/>
  <c r="D39" i="3"/>
  <c r="F67" i="54"/>
  <c r="G67" i="54"/>
  <c r="B38" i="78"/>
  <c r="I38" i="78" s="1"/>
  <c r="B40" i="78"/>
  <c r="I40" i="78" s="1"/>
  <c r="M31" i="78"/>
  <c r="L33" i="78"/>
  <c r="F36" i="31"/>
  <c r="G36" i="31" s="1"/>
  <c r="D37" i="31"/>
  <c r="K37" i="31" s="1"/>
  <c r="D39" i="31"/>
  <c r="K39" i="31" s="1"/>
  <c r="D40" i="53"/>
  <c r="J40" i="53" s="1"/>
  <c r="D38" i="53"/>
  <c r="J38" i="53" s="1"/>
  <c r="E39" i="53"/>
  <c r="C41" i="53"/>
  <c r="M33" i="53"/>
  <c r="B39" i="53"/>
  <c r="I39" i="53" s="1"/>
  <c r="B41" i="53"/>
  <c r="I41" i="53" s="1"/>
  <c r="C39" i="53"/>
  <c r="E41" i="53"/>
  <c r="C40" i="53"/>
  <c r="E40" i="53"/>
  <c r="E38" i="53"/>
  <c r="C38" i="53"/>
  <c r="C37" i="4" l="1"/>
  <c r="F38" i="4"/>
  <c r="G38" i="4" s="1"/>
  <c r="D39" i="4"/>
  <c r="D37" i="4"/>
  <c r="J38" i="4"/>
  <c r="K38" i="4"/>
  <c r="K36" i="4"/>
  <c r="J36" i="4"/>
  <c r="G36" i="4"/>
  <c r="F38" i="53"/>
  <c r="G38" i="53" s="1"/>
  <c r="B41" i="51"/>
  <c r="I41" i="51" s="1"/>
  <c r="B43" i="51"/>
  <c r="I43" i="51" s="1"/>
  <c r="C43" i="51"/>
  <c r="E43" i="51"/>
  <c r="E41" i="51"/>
  <c r="M34" i="51"/>
  <c r="C41" i="51"/>
  <c r="D42" i="51"/>
  <c r="J42" i="51" s="1"/>
  <c r="D40" i="51"/>
  <c r="J40" i="51" s="1"/>
  <c r="C42" i="51"/>
  <c r="E42" i="51"/>
  <c r="C40" i="51"/>
  <c r="E40" i="51"/>
  <c r="F40" i="51" s="1"/>
  <c r="F40" i="53"/>
  <c r="G40" i="53" s="1"/>
  <c r="K39" i="3"/>
  <c r="F39" i="3"/>
  <c r="G39" i="3" s="1"/>
  <c r="K37" i="3"/>
  <c r="F37" i="3"/>
  <c r="B41" i="78"/>
  <c r="I41" i="78" s="1"/>
  <c r="B39" i="78"/>
  <c r="I39" i="78" s="1"/>
  <c r="C39" i="78"/>
  <c r="C41" i="78"/>
  <c r="E39" i="78"/>
  <c r="E41" i="78"/>
  <c r="M33" i="78"/>
  <c r="D38" i="78"/>
  <c r="J38" i="78" s="1"/>
  <c r="D40" i="78"/>
  <c r="J40" i="78" s="1"/>
  <c r="C40" i="78"/>
  <c r="E40" i="78"/>
  <c r="C38" i="78"/>
  <c r="E38" i="78"/>
  <c r="F37" i="31"/>
  <c r="G37" i="31" s="1"/>
  <c r="K71" i="31"/>
  <c r="N71" i="31" s="1"/>
  <c r="A71" i="31" s="1"/>
  <c r="F39" i="31"/>
  <c r="G39" i="31" s="1"/>
  <c r="D41" i="53"/>
  <c r="J41" i="53" s="1"/>
  <c r="D39" i="53"/>
  <c r="J39" i="53" s="1"/>
  <c r="F37" i="4" l="1"/>
  <c r="J37" i="4"/>
  <c r="K37" i="4"/>
  <c r="F39" i="4"/>
  <c r="G39" i="4" s="1"/>
  <c r="K39" i="4"/>
  <c r="J39" i="4"/>
  <c r="F38" i="78"/>
  <c r="G38" i="78" s="1"/>
  <c r="F40" i="78"/>
  <c r="G40" i="78" s="1"/>
  <c r="F42" i="51"/>
  <c r="G42" i="51" s="1"/>
  <c r="D41" i="51"/>
  <c r="J41" i="51" s="1"/>
  <c r="D43" i="51"/>
  <c r="J43" i="51" s="1"/>
  <c r="G40" i="51"/>
  <c r="G37" i="3"/>
  <c r="G66" i="3" s="1"/>
  <c r="F66" i="3"/>
  <c r="G68" i="31"/>
  <c r="F68" i="31"/>
  <c r="D41" i="78"/>
  <c r="J41" i="78" s="1"/>
  <c r="D39" i="78"/>
  <c r="J39" i="78" s="1"/>
  <c r="F39" i="53"/>
  <c r="G39" i="53" s="1"/>
  <c r="J70" i="53"/>
  <c r="M70" i="53" s="1"/>
  <c r="A70" i="53" s="1"/>
  <c r="F41" i="53"/>
  <c r="G41" i="53" s="1"/>
  <c r="K73" i="4" l="1"/>
  <c r="N73" i="4" s="1"/>
  <c r="A69" i="4" s="1"/>
  <c r="G37" i="4"/>
  <c r="G66" i="4" s="1"/>
  <c r="F66" i="4"/>
  <c r="F39" i="78"/>
  <c r="G39" i="78" s="1"/>
  <c r="J72" i="51"/>
  <c r="M72" i="51" s="1"/>
  <c r="A72" i="51" s="1"/>
  <c r="F43" i="51"/>
  <c r="G43" i="51" s="1"/>
  <c r="F41" i="51"/>
  <c r="G41" i="51" s="1"/>
  <c r="F41" i="78"/>
  <c r="G41" i="78" s="1"/>
  <c r="G67" i="53"/>
  <c r="F67" i="53"/>
  <c r="G69" i="51" l="1"/>
  <c r="F69" i="51"/>
  <c r="F66" i="78"/>
  <c r="G66" i="7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sharedStrings.xml><?xml version="1.0" encoding="utf-8"?>
<sst xmlns="http://schemas.openxmlformats.org/spreadsheetml/2006/main" count="13184" uniqueCount="7993">
  <si>
    <t>název sk</t>
  </si>
  <si>
    <t>název CZ</t>
  </si>
  <si>
    <t>název PL</t>
  </si>
  <si>
    <t>kód</t>
  </si>
  <si>
    <t>www.demos-trade.com</t>
  </si>
  <si>
    <t>TYTAN</t>
  </si>
  <si>
    <t>počet dveří:</t>
  </si>
  <si>
    <t>barva</t>
  </si>
  <si>
    <t>křídlo dveří:</t>
  </si>
  <si>
    <t>rozměr výplně 10mm:</t>
  </si>
  <si>
    <t>rozměr zrcadla/skla</t>
  </si>
  <si>
    <t>délka vodící a krycí lišty křídla</t>
  </si>
  <si>
    <t>Horní/spodní profil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</si>
  <si>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</si>
  <si>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</si>
  <si>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</si>
  <si>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</si>
  <si>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</si>
  <si>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</si>
  <si>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</si>
  <si>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</si>
  <si>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</si>
  <si>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</si>
  <si>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</si>
  <si>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</si>
  <si>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</si>
  <si>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</si>
  <si>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</si>
  <si>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</si>
  <si>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</si>
  <si>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</si>
  <si>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</si>
  <si>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</si>
  <si>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</si>
  <si>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</si>
  <si>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</si>
  <si>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</si>
  <si>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</si>
  <si>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</si>
  <si>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</si>
  <si>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</si>
  <si>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</si>
  <si>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</si>
  <si>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</si>
  <si>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</si>
  <si>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</si>
  <si>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Julie</t>
  </si>
  <si>
    <t>H18, T profil = 2mm</t>
  </si>
  <si>
    <t>Prodejní cena</t>
  </si>
  <si>
    <t>SEVROLL-270-MASKA CLEFT 4,05 M ZLATÁ</t>
  </si>
  <si>
    <t>SEVROLL-270-MASKA CLEFT 4,05M OLIVOVÁ</t>
  </si>
  <si>
    <t>SEVROLL-258-MASKA CLEFT 1,7M ZLATÁ</t>
  </si>
  <si>
    <t>SEVROLL-258-MASKA CLEFT 1,7M OLIVOVÁ</t>
  </si>
  <si>
    <t>SEVROLL-259-MASKA CLEFT 2,35M ZLATÁ</t>
  </si>
  <si>
    <t>SEVROLL-259-MASKA CLEFT 2,35M OLIVOVÁ</t>
  </si>
  <si>
    <t>SEVROLL-260-MASKA CLEFT 3M ZLATÁ</t>
  </si>
  <si>
    <t>SEVROLL-260-MASKA CLEFT 3M OLIVOVÁ</t>
  </si>
  <si>
    <t>SEVROLL-206 VOD.LIŠTA HOR.1,7M OLIVOVÁ</t>
  </si>
  <si>
    <t>SEVROLL-207 VOD.LIŠTA HOR.2,35M OLIVOVÁ</t>
  </si>
  <si>
    <t>SEVROLL-208 VOD.LIŠTA HOR 3M OLIVOVÁ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</si>
  <si>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</si>
  <si>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</si>
  <si>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</si>
  <si>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</si>
  <si>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</si>
  <si>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</si>
  <si>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</si>
  <si>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</si>
  <si>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</si>
  <si>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</si>
  <si>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</si>
  <si>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</si>
  <si>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</si>
  <si>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</si>
  <si>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</si>
  <si>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</si>
  <si>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</si>
  <si>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</si>
  <si>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</si>
  <si>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</si>
  <si>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</si>
  <si>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Délka úchytového profilu (+ 2 mm )</t>
  </si>
  <si>
    <t>U této sestavy nelze použít kombinaci se sklem / zrcadlem</t>
  </si>
  <si>
    <t>98037M</t>
  </si>
  <si>
    <t/>
  </si>
  <si>
    <t>SEVROLL-206 LIŠTA VOD.HORNÁ ZLATÁ 1,70m</t>
  </si>
  <si>
    <t>SEVROLL-207 LIŠTA VOD.HORNÁ ZLATÁ 2,35m</t>
  </si>
  <si>
    <t>SEVROLL-208 LIŠTA VOD.HORNÁ ZLATÁ 3,00m</t>
  </si>
  <si>
    <t>SEVROLL-153 SPOJ.LIŠTA """"H10" 3M ZLATÁ</t>
  </si>
  <si>
    <t>SEVROLL-161 U PROFna DTD 18mm-3m, zlatá</t>
  </si>
  <si>
    <t>SEVROLL-SMART SPODNÉ VEDENIE 3M OLIVA</t>
  </si>
  <si>
    <t>SEVROLL-182 UHOLNÍK 17*11 ZLATÁ 1,7M</t>
  </si>
  <si>
    <t>SEVROLL-182 UHOLNÍK 17*11 OLIVOVÁ 1,7M</t>
  </si>
  <si>
    <t>SEVROLL-182 UHOLNÍK 17*11 STRIEBOR. 1,7M</t>
  </si>
  <si>
    <t>SEVROLL-183 UHOLNÍK 17*11 ZLATÁ 2,35M</t>
  </si>
  <si>
    <t>SEVROLL-183 UHOLNÍK 17*11 OLIVOVÁ 2,35M</t>
  </si>
  <si>
    <t>SEVROLL-183 UHOLNÍK 17*11 STRIEBOR. 2,35</t>
  </si>
  <si>
    <t>SEVROLL-184 UHOLNÍK 17*11 ZLATÁ 3M</t>
  </si>
  <si>
    <t>SEVROLL-184 UHOLNÍK 17*11 OLIVOVÁ 3M</t>
  </si>
  <si>
    <t>SEVROLL-184 UHOLNÍK 17*11 STRIEBOR. 3M</t>
  </si>
  <si>
    <t>SEVROLL-258-MASKA CLEFT 1,7M STRIEBOR.</t>
  </si>
  <si>
    <t>SEVROLL-259-MASKA CLEFT 2,35M STRIEBOR.</t>
  </si>
  <si>
    <t>SEVROLL-260-MASKA CLEFT 3M STRIEBOR.</t>
  </si>
  <si>
    <t>SEVROLL-206 VOD.LIŠTA HOR.1,7M STRIEBOR.</t>
  </si>
  <si>
    <t>SEVROLL-207 VOD.LIŠTA HOR.2,35M STRIEBOR</t>
  </si>
  <si>
    <t>SEVROLL-208 VOD.LIŠTA HOR 3M STRIEBOR.</t>
  </si>
  <si>
    <t>SEVROLL-161 U PROFna DTD 18mm-3m, OLIVA</t>
  </si>
  <si>
    <t>SEVROLL-SMART SPODNÉ VEDENIE 1,7M STRIE.</t>
  </si>
  <si>
    <t>SEVROLL-SMART SPODNÉ VEDENIE 2,35M STRIE</t>
  </si>
  <si>
    <t>SEVROLL-SMART SPODNÉ VEDENIE 3M STRIE.</t>
  </si>
  <si>
    <t>SEVROLL - FOLIA 112350 14,7m/ szer.4 cm</t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</si>
  <si>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</si>
  <si>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</si>
  <si>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</si>
  <si>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</si>
  <si>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</si>
  <si>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</si>
  <si>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</si>
  <si>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</si>
  <si>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</si>
  <si>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</si>
  <si>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</si>
  <si>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</si>
  <si>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</si>
  <si>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Future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</si>
  <si>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</si>
  <si>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</si>
  <si>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</si>
  <si>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</si>
  <si>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</si>
  <si>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</si>
  <si>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</si>
  <si>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</si>
  <si>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</si>
  <si>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</si>
  <si>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</si>
  <si>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</si>
  <si>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</si>
  <si>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</si>
  <si>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</si>
  <si>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</si>
  <si>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</si>
  <si>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</si>
  <si>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</si>
  <si>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jazyk (1 CZ, 2SK, 3PL, 4HU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</si>
  <si>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</si>
  <si>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</si>
  <si>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</si>
  <si>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</si>
  <si>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</si>
  <si>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</si>
  <si>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</si>
  <si>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</si>
  <si>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Měna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</si>
  <si>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</si>
  <si>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</si>
  <si>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</si>
  <si>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</si>
  <si>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</si>
  <si>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</si>
  <si>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</si>
  <si>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</si>
  <si>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</si>
  <si>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</si>
  <si>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</si>
  <si>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</si>
  <si>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</si>
  <si>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</si>
  <si>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</si>
  <si>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</si>
  <si>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</si>
  <si>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</si>
  <si>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</si>
  <si>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</si>
  <si>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</si>
  <si>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</si>
  <si>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</si>
  <si>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</si>
  <si>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</si>
  <si>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</si>
  <si>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</si>
  <si>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</si>
  <si>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</si>
  <si>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</si>
  <si>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</si>
  <si>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m, pokud je prosklených více křídel, nutno vynásobit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</si>
  <si>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</si>
  <si>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</si>
  <si>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</si>
  <si>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</si>
  <si>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</si>
  <si>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</si>
  <si>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</si>
  <si>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</si>
  <si>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</si>
  <si>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</si>
  <si>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</si>
  <si>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</si>
  <si>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</si>
  <si>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</si>
  <si>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</si>
  <si>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</si>
  <si>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</si>
  <si>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</si>
  <si>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</si>
  <si>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</si>
  <si>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</si>
  <si>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</si>
  <si>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</si>
  <si>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</si>
  <si>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</si>
  <si>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</si>
  <si>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</si>
  <si>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</si>
  <si>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</si>
  <si>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</si>
  <si>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</si>
  <si>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</si>
  <si>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</si>
  <si>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</si>
  <si>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Fogantyú profil hossza (+2mm)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</si>
  <si>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</si>
  <si>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</si>
  <si>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</si>
  <si>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</si>
  <si>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</si>
  <si>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</si>
  <si>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</si>
  <si>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</si>
  <si>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</si>
  <si>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</si>
  <si>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</si>
  <si>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</si>
  <si>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</si>
  <si>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</si>
  <si>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</si>
  <si>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</si>
  <si>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</si>
  <si>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</si>
  <si>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</si>
  <si>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</si>
  <si>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</si>
  <si>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</si>
  <si>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</si>
  <si>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</si>
  <si>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systém Maxim (kombinace DTD 18mm a sklo)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</si>
  <si>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</si>
  <si>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</si>
  <si>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</si>
  <si>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</si>
  <si>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</si>
  <si>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</si>
  <si>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</si>
  <si>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</si>
  <si>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</si>
  <si>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</si>
  <si>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</si>
  <si>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>SEVROLL-278 DERÉKSZ.PROFIL K2 1,70M OL</t>
  </si>
  <si>
    <t>SEVROLL-258-CLEFT TAKARÓ PROFIL 1,7M OLI</t>
  </si>
  <si>
    <t>SEVROLL-258-CLEFT TAKARÓ PROFIL 1,7M EZÜ</t>
  </si>
  <si>
    <t>SEVROLL-259-CLEFT TAKARÓ PROFIL2,35M OLI</t>
  </si>
  <si>
    <t>SEVROLL-260-CLEFT TAKARÓ PROFIL 3M OLIVA</t>
  </si>
  <si>
    <t>SEVROLL-160 ÖSSZEKÖTŐ"T"PROFIL3M OLIVA</t>
  </si>
  <si>
    <t>SEVROLL-160 ÖSSZEK"T"-PROFIL3M EZÜST</t>
  </si>
  <si>
    <t>SEVROLL-206 VEZETŐ PROFIL FELSŐ 1,7M EZ</t>
  </si>
  <si>
    <t>SEVROLL-206 VEZETŐ PROFIL FELSŐ 1,7M OLI</t>
  </si>
  <si>
    <t>SEVROLL-207 VEZETŐ PROFIL FELSŐ 2,35M EZ</t>
  </si>
  <si>
    <t>SEVROLL-207 VEZETŐ PROFIL FELSŐ 2,35M OL</t>
  </si>
  <si>
    <t>SEVROLL-208 VEZETŐ PROFIL FELSŐ 3M EZÜST</t>
  </si>
  <si>
    <t>SEVROLL-208 VEZETŐ PROFIL FELSŐ 3M OLIVA</t>
  </si>
  <si>
    <t>SEVROLL-153 ÖSSZEK"H"10-PROFIL 3M OLIVA</t>
  </si>
  <si>
    <t>SEVROLL-270-CLEFT TAKARÓ EL.4,05 m OL</t>
  </si>
  <si>
    <t>SEVROLL-161-U-PROFIL  DTD 18mm-3M,OLIVA</t>
  </si>
  <si>
    <t>SEVROLL-278 DERÉKSZ.PROFIL K2 1,70M EZ</t>
  </si>
  <si>
    <t>SEVROLL-288 ÖSSZEK.PROFIL"H 18"-OLIVA</t>
  </si>
  <si>
    <t xml:space="preserve">Felület a dekor </t>
  </si>
  <si>
    <t>fólia alkalmazására</t>
  </si>
  <si>
    <t xml:space="preserve">plocha k aplikaci </t>
  </si>
  <si>
    <t>dekorativní folie</t>
  </si>
  <si>
    <r>
      <t xml:space="preserve">Prosper  </t>
    </r>
    <r>
      <rPr>
        <b/>
        <u/>
        <sz val="10"/>
        <color indexed="12"/>
        <rFont val="Arial"/>
        <family val="2"/>
        <charset val="238"/>
      </rPr>
      <t>systém Maxim</t>
    </r>
  </si>
  <si>
    <t>VNITŘNÍ ROZMĚR SKŘÍNĚ:</t>
  </si>
  <si>
    <t>Délka těsnění na sklo na jednom křídle</t>
  </si>
  <si>
    <t>odpočet na těsnění: 2mm/1strana</t>
  </si>
  <si>
    <t>Objednací kody, ceny:</t>
  </si>
  <si>
    <t>Horní profil: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</si>
  <si>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</si>
  <si>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</si>
  <si>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</si>
  <si>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</si>
  <si>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</si>
  <si>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</si>
  <si>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</si>
  <si>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</si>
  <si>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</si>
  <si>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</si>
  <si>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</si>
  <si>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</si>
  <si>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</si>
  <si>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</si>
  <si>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</si>
  <si>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</si>
  <si>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</si>
  <si>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</si>
  <si>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</si>
  <si>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</si>
  <si>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</si>
  <si>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</si>
  <si>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</si>
  <si>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</si>
  <si>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</si>
  <si>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</si>
  <si>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</si>
  <si>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</si>
  <si>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</si>
  <si>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</si>
  <si>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</si>
  <si>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</si>
  <si>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</si>
  <si>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</si>
  <si>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</si>
  <si>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</si>
  <si>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</si>
  <si>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</si>
  <si>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</si>
  <si>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</si>
  <si>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</si>
  <si>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</si>
  <si>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</si>
  <si>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</si>
  <si>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počet dverí:</t>
  </si>
  <si>
    <t>rozmer výplne 18mm:</t>
  </si>
  <si>
    <t>rozmer výplne 12mm:</t>
  </si>
  <si>
    <t>Maxim rendszer (FFL 18mm és üveg kombináció)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</si>
  <si>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</si>
  <si>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</si>
  <si>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</si>
  <si>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</si>
  <si>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</si>
  <si>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</si>
  <si>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</si>
  <si>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</si>
  <si>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</si>
  <si>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</si>
  <si>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</si>
  <si>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</si>
  <si>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</si>
  <si>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</si>
  <si>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</si>
  <si>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</si>
  <si>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</si>
  <si>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</si>
  <si>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</si>
  <si>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</si>
  <si>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</si>
  <si>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</si>
  <si>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</si>
  <si>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</si>
  <si>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</si>
  <si>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</si>
  <si>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m, pokiaľ je preskenných viac krídel, treba vynásobiť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</si>
  <si>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</si>
  <si>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</si>
  <si>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</si>
  <si>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</si>
  <si>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</si>
  <si>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</si>
  <si>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</si>
  <si>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</si>
  <si>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</si>
  <si>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</si>
  <si>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</si>
  <si>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Dĺžka úchytkového profilu (+2 mm)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</si>
  <si>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</si>
  <si>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</si>
  <si>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</si>
  <si>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</si>
  <si>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systém Maxim (kombinácia DTD 18mm a sklo)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</si>
  <si>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</si>
  <si>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</si>
  <si>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</si>
  <si>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</si>
  <si>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</si>
  <si>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</si>
  <si>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</si>
  <si>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</si>
  <si>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</si>
  <si>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</si>
  <si>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</si>
  <si>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</si>
  <si>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</si>
  <si>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</si>
  <si>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</si>
  <si>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</si>
  <si>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</si>
  <si>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</si>
  <si>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</si>
  <si>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</si>
  <si>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</si>
  <si>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</si>
  <si>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</si>
  <si>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</si>
  <si>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</si>
  <si>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</si>
  <si>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</si>
  <si>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</si>
  <si>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</si>
  <si>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</si>
  <si>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</si>
  <si>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</si>
  <si>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</si>
  <si>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</si>
  <si>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</si>
  <si>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</si>
  <si>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</si>
  <si>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</si>
  <si>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</si>
  <si>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</si>
  <si>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</si>
  <si>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</si>
  <si>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</si>
  <si>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</si>
  <si>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</si>
  <si>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</si>
  <si>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</si>
  <si>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</si>
  <si>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</si>
  <si>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</si>
  <si>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</si>
  <si>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</si>
  <si>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</si>
  <si>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</si>
  <si>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</si>
  <si>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</si>
  <si>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Komentáře: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</si>
  <si>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</si>
  <si>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</si>
  <si>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</si>
  <si>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</si>
  <si>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</si>
  <si>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</si>
  <si>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</si>
  <si>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</si>
  <si>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</si>
  <si>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</si>
  <si>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</si>
  <si>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</si>
  <si>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</si>
  <si>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</si>
  <si>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</si>
  <si>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</si>
  <si>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</si>
  <si>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</si>
  <si>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</si>
  <si>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</si>
  <si>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</si>
  <si>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</si>
  <si>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</si>
  <si>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</si>
  <si>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</si>
  <si>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</si>
  <si>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</si>
  <si>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</si>
  <si>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</si>
  <si>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</si>
  <si>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</si>
  <si>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</si>
  <si>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</si>
  <si>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</si>
  <si>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</si>
  <si>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</si>
  <si>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</si>
  <si>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</si>
  <si>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</si>
  <si>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</si>
  <si>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</si>
  <si>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</si>
  <si>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</si>
  <si>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ilość drzwi: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</si>
  <si>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</si>
  <si>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</si>
  <si>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</si>
  <si>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</si>
  <si>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</si>
  <si>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</si>
  <si>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</si>
  <si>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</si>
  <si>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</si>
  <si>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Długość rączki (+ 2 mm )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</si>
  <si>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</si>
  <si>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</si>
  <si>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</si>
  <si>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</si>
  <si>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</si>
  <si>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</si>
  <si>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</si>
  <si>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</si>
  <si>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</si>
  <si>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</si>
  <si>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</si>
  <si>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</si>
  <si>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</si>
  <si>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</si>
  <si>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</si>
  <si>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</si>
  <si>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</si>
  <si>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</si>
  <si>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</si>
  <si>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</si>
  <si>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</si>
  <si>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</si>
  <si>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</si>
  <si>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</si>
  <si>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</si>
  <si>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</si>
  <si>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</si>
  <si>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</si>
  <si>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</si>
  <si>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</si>
  <si>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</si>
  <si>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</si>
  <si>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</si>
  <si>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</si>
  <si>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</si>
  <si>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</si>
  <si>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</si>
  <si>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</si>
  <si>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</si>
  <si>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</si>
  <si>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</si>
  <si>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</si>
  <si>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</si>
  <si>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</si>
  <si>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</si>
  <si>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</si>
  <si>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</si>
  <si>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</si>
  <si>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</si>
  <si>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</si>
  <si>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</si>
  <si>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</si>
  <si>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</si>
  <si>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</si>
  <si>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</si>
  <si>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</si>
  <si>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</si>
  <si>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1800</t>
  </si>
  <si>
    <t>2500</t>
  </si>
  <si>
    <t>3500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</si>
  <si>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</si>
  <si>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</si>
  <si>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</si>
  <si>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</si>
  <si>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</si>
  <si>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</si>
  <si>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</si>
  <si>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system Maxim (kombinacja PW 18 mm i szkła)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</si>
  <si>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</si>
  <si>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</si>
  <si>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</si>
  <si>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</si>
  <si>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</si>
  <si>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</si>
  <si>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</si>
  <si>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</si>
  <si>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</si>
  <si>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</si>
  <si>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</si>
  <si>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</si>
  <si>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</si>
  <si>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</si>
  <si>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</si>
  <si>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</si>
  <si>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</si>
  <si>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Spracované na základe údajov dodaných výrobcom, chyby vyhradené, zvlášť v prípade hromadnej výroby odporúčame najprv výrobu skúšobného prototypu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</si>
  <si>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</si>
  <si>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</si>
  <si>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</si>
  <si>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</si>
  <si>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</si>
  <si>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</si>
  <si>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</si>
  <si>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</si>
  <si>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</si>
  <si>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</si>
  <si>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</si>
  <si>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SEVROLL-FACTOR 18 II-UCH.LIŠTA STR. 2,7m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</si>
  <si>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</si>
  <si>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</si>
  <si>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</si>
  <si>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</si>
  <si>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</si>
  <si>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</si>
  <si>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</si>
  <si>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</si>
  <si>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</si>
  <si>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</si>
  <si>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</si>
  <si>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</si>
  <si>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</si>
  <si>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</si>
  <si>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</si>
  <si>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</si>
  <si>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</si>
  <si>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</si>
  <si>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</si>
  <si>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</si>
  <si>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</si>
  <si>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</si>
  <si>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</si>
  <si>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</si>
  <si>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</si>
  <si>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</si>
  <si>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</si>
  <si>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</si>
  <si>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</si>
  <si>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</si>
  <si>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</si>
  <si>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</si>
  <si>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</si>
  <si>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</si>
  <si>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</si>
  <si>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</si>
  <si>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</si>
  <si>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</si>
  <si>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</si>
  <si>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SEVROLL-153 SPOJ.LIŠTA "H 10"3M OLIVOVÁ</t>
  </si>
  <si>
    <t>SEVROLL-SMART spodné vedenia 1,7 M OLIVA</t>
  </si>
  <si>
    <t>SEVROLL-SMART spodné vedenia 2,35M OLIVA</t>
  </si>
  <si>
    <t>SEVROL-SP.VOZÍK WD18V(2 KOL.+POZICIONÉR)</t>
  </si>
  <si>
    <t>SEVROLL-SP.VOZÍK WD10 V DUO 60 KG</t>
  </si>
  <si>
    <t>SEVROLL-ÖSSZEK.LÉC H04  3M EZÜST</t>
  </si>
  <si>
    <t>SEVROLL- TESNENIE NA SKLO 4,5mm</t>
  </si>
  <si>
    <t>SEVROLL- FACTOR 18 II-UCH.LIŠTA OLI 2,7m</t>
  </si>
  <si>
    <t>SEVROLL-ERGO UCH.LIŠTA.2,70m OLIVOVÁ</t>
  </si>
  <si>
    <t>SEVROLL- ROMEO II ÚCH.LIŠTA 2,7 M STR.</t>
  </si>
  <si>
    <t>JOKER-HORNÝ PROFIL 1,8M HLINÍK (32/1)</t>
  </si>
  <si>
    <t>JOKER-HORNÝ PROFIL 2,7M HLINÍK (32/1)</t>
  </si>
  <si>
    <t>JOKER-HORNÝ PROFIL 3,6M HLINÍK (32/1)</t>
  </si>
  <si>
    <t>JOKER-SPODNÝ PROFIL 1,8M HLINÍK (22/1)</t>
  </si>
  <si>
    <t>JOKER-SPODNÝ PROFIL 2,7M HLINÍK (22/1)</t>
  </si>
  <si>
    <t>JOKER-SPODNÝ PROFIL 3,6M HLINÍK (22/1)</t>
  </si>
  <si>
    <t>JOKER-UHOLNÍK 1,8M HLINÍK (22/1)</t>
  </si>
  <si>
    <t>JOKER-UHOLNÍK 3,6M HLINÍK (22/1)</t>
  </si>
  <si>
    <t>AST-LUNA fog.profil 2,7m szálcsi.fek.</t>
  </si>
  <si>
    <t>AST-LUNA fog.profil 5,4m szálcsi.fek.</t>
  </si>
  <si>
    <t>AST-felső sín3,6m szálcsi.fek.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</si>
  <si>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</si>
  <si>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</si>
  <si>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</si>
  <si>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</si>
  <si>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</si>
  <si>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</si>
  <si>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</si>
  <si>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</si>
  <si>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</si>
  <si>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</si>
  <si>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</si>
  <si>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</si>
  <si>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</si>
  <si>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</si>
  <si>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SEVROLL-HOR. VEDENIE COMFORT 1,70 M STR.</t>
  </si>
  <si>
    <t>SEVROLL-HOR.VEDENIE COMFORT 2,35 M OLIVA</t>
  </si>
  <si>
    <t>SEVROLL-HOR.VEDENIE COMFORT 3 M OLIVA</t>
  </si>
  <si>
    <t>SEVROLL-HOR.VEDENIE COMFORT 4,05 M OLIVA</t>
  </si>
  <si>
    <t>SEVROLL-MAXIM VOD.LIŠTA 1,8 M STRIEBORNA</t>
  </si>
  <si>
    <t>SEVROLL-MAXIM VOD.LIŠTA 3,5 M STRIEBORNA</t>
  </si>
  <si>
    <t>SEVROLL-MAXIM VOD.LIŠTA 4,3 M STRIEBORNA</t>
  </si>
  <si>
    <t>SEVROLL-SPOJ.LIŠTA H18 MAXIM 1,8M STR</t>
  </si>
  <si>
    <t>SEVROLL-HORNÉ VEDEN. MAXIM 1,8M STR.</t>
  </si>
  <si>
    <t>SEVROLL-HORNÉ VEDENIE MAXIM 3,5M STR.</t>
  </si>
  <si>
    <t>SEVROLL-HORNÉ VEDENIE MAXIM 4,3M STR.</t>
  </si>
  <si>
    <t>SEVROLL-HORNÉ VEDENIE EXCLUSIVE 1,2M STR</t>
  </si>
  <si>
    <t>SEVROLL - SPOD.VEDENIE COMFORT 1,7M STR.</t>
  </si>
  <si>
    <t>SEVROLL-FIRST HOR/SPOD VED. 1,8 M OLIVA</t>
  </si>
  <si>
    <t>SEVROLL-SPOD.VED. DOUBLER II 1,7M OLIVA</t>
  </si>
  <si>
    <t>SEVROLL-SPOD.VED. DOUBLER II 2,35M OLIVA</t>
  </si>
  <si>
    <t>SEVROLL-SPOD.VED. DOUBLER II 3M OLIVA</t>
  </si>
  <si>
    <t>SEVROLL-SPOD.VED. DOUBLER II 4,05M OLIVA</t>
  </si>
  <si>
    <t>SEVROLL-SPOD.VED. DOUBLER II 6M OLIVA</t>
  </si>
  <si>
    <t>SEVROLL-MASKA DOUBLER II 1,7 M OLIVA</t>
  </si>
  <si>
    <t>SEVROLL-MASKA DOUBLER II 2,35 M OLIVA</t>
  </si>
  <si>
    <t>SEVROLL-MASKA DOUBLER II 3 M OLIVA</t>
  </si>
  <si>
    <t>SEVROLL-MASKA DOUBLER II 4,05 M OLIVA</t>
  </si>
  <si>
    <t>SEVROLL-MASKA DOUBLER II 6 M OLIVA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</si>
  <si>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</si>
  <si>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</si>
  <si>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</si>
  <si>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</si>
  <si>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</si>
  <si>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</si>
  <si>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</si>
  <si>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</si>
  <si>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</si>
  <si>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</si>
  <si>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</si>
  <si>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</si>
  <si>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</si>
  <si>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</si>
  <si>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</si>
  <si>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</si>
  <si>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</si>
  <si>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SEVROLL-skrutka 2,5*18MM</t>
  </si>
  <si>
    <t>BAL</t>
  </si>
  <si>
    <t>PAR</t>
  </si>
  <si>
    <t>SEVROLL-FUTURE II ÚCH.LIŠTA 3,5 M str.</t>
  </si>
  <si>
    <t>SEVROLL-SPODNÉ VED. MAXIM II 3,5M STR.</t>
  </si>
  <si>
    <t>SEVROLL-SPODNÉ VED. MAXIM II 4,3M STR.</t>
  </si>
  <si>
    <t>SEVROLL-SPODNÉ VED. MAXIM II 1,8M STR.</t>
  </si>
  <si>
    <t>SEVROLL-SPODNÉ VED. MAXIM II 6M STR.</t>
  </si>
  <si>
    <t>SEVROLL-MAXIM VOD.LIŠTA 6 M STRIERBOR.</t>
  </si>
  <si>
    <t>SEVROLL-MASKA DOUBLER II 4,05 M striebor</t>
  </si>
  <si>
    <t>SEVROLL-MASKA DOUBLER II 1,7 M strieborn</t>
  </si>
  <si>
    <t>SEVROLL-MASKA DOUBLER II 6 M strieborná</t>
  </si>
  <si>
    <t>SEVROLL-ERGO 18 UCH.LIŠTA.2,70m STR.</t>
  </si>
  <si>
    <t>SEVROLL-U prof.FFL 10mm - 2m, EZ.</t>
  </si>
  <si>
    <t>SEVROLL-U prof.na DTD 10mm - 2m, STR.</t>
  </si>
  <si>
    <t>SEVROLL-U prof.FFL 10mm - 3m, EZ.</t>
  </si>
  <si>
    <t>SEVROLL-U prof.na DTD 10mm - 3m, STR.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</si>
  <si>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</si>
  <si>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</si>
  <si>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</si>
  <si>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</si>
  <si>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</si>
  <si>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</si>
  <si>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</si>
  <si>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</si>
  <si>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</si>
  <si>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</si>
  <si>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</si>
  <si>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</si>
  <si>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</si>
  <si>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</si>
  <si>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</si>
  <si>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</si>
  <si>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</si>
  <si>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</si>
  <si>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</si>
  <si>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</si>
  <si>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</si>
  <si>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</si>
  <si>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</si>
  <si>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</si>
  <si>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</si>
  <si>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</si>
  <si>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</si>
  <si>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</si>
  <si>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</si>
  <si>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</si>
  <si>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</si>
  <si>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</si>
  <si>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</si>
  <si>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</si>
  <si>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</si>
  <si>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</si>
  <si>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</si>
  <si>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</si>
  <si>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</si>
  <si>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</si>
  <si>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</si>
  <si>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</si>
  <si>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</si>
  <si>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</si>
  <si>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</si>
  <si>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</si>
  <si>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</si>
  <si>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</si>
  <si>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SEVROLL-MONT.PRÍPRAVOK NA DTD 10mm MALÝ</t>
  </si>
  <si>
    <t>SEVROLL-VRTÁK STUPŇOVITÝ 6,5/9,5mm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</si>
  <si>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</si>
  <si>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</si>
  <si>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</si>
  <si>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</si>
  <si>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</si>
  <si>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</si>
  <si>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</si>
  <si>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</si>
  <si>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</si>
  <si>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</si>
  <si>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</si>
  <si>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</si>
  <si>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</si>
  <si>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</si>
  <si>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</si>
  <si>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</si>
  <si>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</si>
  <si>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</si>
  <si>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</si>
  <si>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</si>
  <si>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</si>
  <si>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</si>
  <si>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SEVROLL-FIRST HOR/SPOD VED. 3 M STR.</t>
  </si>
  <si>
    <t>SEVROLL-FIRST HOR/SPOD VED. 3 M OLIVA</t>
  </si>
  <si>
    <t>SEVROLL-FIRST ALSÓ/FELSŐ SÍN 3 M OLIVA</t>
  </si>
  <si>
    <t>SEVROLL-MICRA- HOR/DOL OLIVA 1,7M</t>
  </si>
  <si>
    <t>SEVROLL-MICRA- HOR/DOL OLIVA 2,35M</t>
  </si>
  <si>
    <t>SEVROLL-HOR.VEDENIE JEDNOD.TOP 3M STR.</t>
  </si>
  <si>
    <t>SEVROLL-HOR.VEDENIE JEDNOD.TOP 3M OLIVA</t>
  </si>
  <si>
    <t>SEVROLL-HOR.VEDENIE JEDNOD.TOP 6M STR.</t>
  </si>
  <si>
    <t>SEVROLL-HOR.VEDENIE JEDNOD.TOP 6M OLIVA</t>
  </si>
  <si>
    <t>AST-PRESTIGE fog prof. 5,4m oliva lakk.</t>
  </si>
  <si>
    <t>AST-becs.léc 5,4m oliva lak.</t>
  </si>
  <si>
    <t>AST-zasuwna listwa 5,4m oliwa lak.</t>
  </si>
  <si>
    <t>AST-felső sín 5,4m oliva lak.</t>
  </si>
  <si>
    <t>AST-tor górny 5,4m oliwa lak.</t>
  </si>
  <si>
    <t>AST-alsó sín 5,4m oliva lak.</t>
  </si>
  <si>
    <t>AST-TOR DOLNT 5,4m oliwa lak.</t>
  </si>
  <si>
    <t>AST-takaró profil 5,4m oliva lak.</t>
  </si>
  <si>
    <t>AST-vvezető sín 5,4m oliva lak.</t>
  </si>
  <si>
    <t>AST-listwa prow. 5,4m oliwa lak.</t>
  </si>
  <si>
    <t>AST-listwa maskująca 5,4m oliwa lak.</t>
  </si>
  <si>
    <t>AST- összek.profil H10  5,4m oliva lak.</t>
  </si>
  <si>
    <t>AST- listwa łącz. H10  5,4m oliwa lak.</t>
  </si>
  <si>
    <t>AST- összek.profil H30  5,4m oliva lak.</t>
  </si>
  <si>
    <t>AST- listwa łącz. H30  5,4m oliwa lak.</t>
  </si>
  <si>
    <t>AST- TAKARÓ SZETT EZÜST.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</si>
  <si>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</si>
  <si>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</si>
  <si>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</si>
  <si>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</si>
  <si>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</si>
  <si>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</si>
  <si>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</si>
  <si>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</si>
  <si>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</si>
  <si>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</si>
  <si>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</si>
  <si>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</si>
  <si>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</si>
  <si>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</si>
  <si>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</si>
  <si>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</si>
  <si>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</si>
  <si>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</si>
  <si>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SEV-fólia 200-3028 (112350) 14,7m/4cm</t>
  </si>
  <si>
    <t>SEV-fólia 200-2163 (111025) 14,7m/4cm</t>
  </si>
  <si>
    <t>SEV-First felső/alsó sín 1,2m olív</t>
  </si>
  <si>
    <t>SEV-Fiesta 18 fog.profil 2,7m ezüst</t>
  </si>
  <si>
    <t>SEV-tömítés üvegre 18/4-4,5mm aszimm.</t>
  </si>
  <si>
    <t>SEV-alsó görgő WD 18C HI-TEC</t>
  </si>
  <si>
    <t>SEV-Everest-vezető sín- 3m,ezüst</t>
  </si>
  <si>
    <t>SEV-sarokvas 17*11mm  1,7m arany</t>
  </si>
  <si>
    <t>SEV-sarokvas 17*11mm  1,7m olív</t>
  </si>
  <si>
    <t>SEV-sarokvas 17*11mm  1,7m ezüst</t>
  </si>
  <si>
    <t>SEV-sarokvas 17*11mm  2,35m olív</t>
  </si>
  <si>
    <t>SEV-sarokvas 17*11mm  2,35m ezüst</t>
  </si>
  <si>
    <t>SEV-sarokvas 17*11mm  3m arany</t>
  </si>
  <si>
    <t>SEV-sarokvas 17*11mm  3m olív</t>
  </si>
  <si>
    <t>SEV-sarokvas 17*11mm  3m ezüst</t>
  </si>
  <si>
    <t>SEV-Micra felső/alsó sín 1,7m natúr</t>
  </si>
  <si>
    <t>SEV-Micra felső/alsó sín 2,35m natúr</t>
  </si>
  <si>
    <t>SEV-Micra felső/alsó sín 3m natúr</t>
  </si>
  <si>
    <t>SEV-fólia 200-1682 (111056) 14,7m/4cm</t>
  </si>
  <si>
    <t>SEV-folie 200-1317 (111865) 14,7m/4cm</t>
  </si>
  <si>
    <t>SEV-fólia 200-1317 (111865) 14,7m/4cm</t>
  </si>
  <si>
    <t>SEVROLL- ÖSSZEK.PROF "H10" 3M EZ.</t>
  </si>
  <si>
    <t>SEVROLL- SPOJ.LIŠTA "H10" 3M STR.</t>
  </si>
  <si>
    <t>SEV-tömítés üvegre 10/4mm</t>
  </si>
  <si>
    <t>SEV-306 tömítés üvegre 10/6mm</t>
  </si>
  <si>
    <t>SEV-Focus 16mm fog.profil 2,7m ezüst</t>
  </si>
  <si>
    <t>SEV-horní vodící lišta 1,7m zlatá</t>
  </si>
  <si>
    <t>SEV-U-profil FFL 18mm-3m,ezüst</t>
  </si>
  <si>
    <t>SEV-profil "U" FFL 16mm 3m ezüst</t>
  </si>
  <si>
    <t>SEV-dorazový kartáč samolep. 4,8x4mm</t>
  </si>
  <si>
    <t>SEV-összek.profilH30 3m olív</t>
  </si>
  <si>
    <t>OKE-szczot.ochr.samoprzylep.6,7*8 szar</t>
  </si>
  <si>
    <t>SEV-szögletvas K2 Decor 2,35m ezüst</t>
  </si>
  <si>
    <t>SEV-szögletvas K2 Decor 2,35m olív</t>
  </si>
  <si>
    <t>SEV-szögletvas K2 Decor 3m ezüst</t>
  </si>
  <si>
    <t>SEV-szögletvas K2 Decor 3m olív</t>
  </si>
  <si>
    <t>SEV-folie 200-2236 (112183) 14,7m/4cm</t>
  </si>
  <si>
    <t>SEV-fólia 200-2236 (112183) 14,7m/4cm</t>
  </si>
  <si>
    <t>SEV-folia 200-2236(112183) 14,7m/4cm</t>
  </si>
  <si>
    <t>SEV-összek.profilT Decor 3m ezüst</t>
  </si>
  <si>
    <t>SEV-összek.profilT Decor 3m olív</t>
  </si>
  <si>
    <t>SEV-profil "U" Decor 18mm 3m ezüst</t>
  </si>
  <si>
    <t>SEV-profil "U" Decor 18mm 3m olív</t>
  </si>
  <si>
    <t>SEV-csavar 2,5*18mm</t>
  </si>
  <si>
    <t>SEV-folie 200-3109 (112312) 14,7m/4cm</t>
  </si>
  <si>
    <t>SEV-fólia 200-3109 (112312) 14,7m/4cm</t>
  </si>
  <si>
    <t>SEV-folia 200-3109 (112312) 14,7m/4cm</t>
  </si>
  <si>
    <t>SEV-fólia 200-2227 (111339) 14,7m/4cm</t>
  </si>
  <si>
    <t>SEV-First felső/alsó sín 1,8m ezüst</t>
  </si>
  <si>
    <t>SEV-Single felső sín 1,7m olív</t>
  </si>
  <si>
    <t>SEV- Single górny  tor 1,7 m oliwka</t>
  </si>
  <si>
    <t>SEV-Single felső sín 1,7m ezüst</t>
  </si>
  <si>
    <t>SEV-Single felső sín 2,35m olív</t>
  </si>
  <si>
    <t>SEV-Single felső sín 2,35m ezüst</t>
  </si>
  <si>
    <t>SEV-Single felső sín 3m olív</t>
  </si>
  <si>
    <t>SEV-Single felső sín 3m ezüst</t>
  </si>
  <si>
    <t>SEV-Smart alsó sín 1,7m olív</t>
  </si>
  <si>
    <t>SEV-Smart alsó sín 1,7m ezüst</t>
  </si>
  <si>
    <t>SEV-Smart alsó sín 2,35m olív</t>
  </si>
  <si>
    <t>SEV-Smart alsó sín 2,35m ezüst</t>
  </si>
  <si>
    <t>SEV-Smart alsó sín 3m ezüst</t>
  </si>
  <si>
    <t>SEV-Elegant dolny  tor 2,35m oliwka</t>
  </si>
  <si>
    <t>SEV-Elegant dolny  tor 3,85m oliwka</t>
  </si>
  <si>
    <t>SEV-fólia 200-2227 (111780) 14,7m/4cm</t>
  </si>
  <si>
    <t>SEV-folia 200-2227 (111780) 14,7m/4cm</t>
  </si>
  <si>
    <t>SEV-profil "U" FFL 16mm 3m olív</t>
  </si>
  <si>
    <t>SEV-folie 200-3122 (112381) 14,7m/4cm</t>
  </si>
  <si>
    <t>SEV-összek.profilT04 3m ezüst</t>
  </si>
  <si>
    <t>SEV-306 tömítés üvegre 8mm</t>
  </si>
  <si>
    <t>SEV-tak.léc Cleft 6m ezüst</t>
  </si>
  <si>
    <t>SEV-Julia II fog.profil 2,7 m arany</t>
  </si>
  <si>
    <t>SEV-folia 200-2608 (112269) 14,7m/4cm</t>
  </si>
  <si>
    <t>SEV-fólia 200-2986 14,7m/4cm</t>
  </si>
  <si>
    <t>SEV-Doubler II alsó sín 4,05m arany</t>
  </si>
  <si>
    <t>SEV-Maxim II tak.léc 4,3m ezüst</t>
  </si>
  <si>
    <t>SEV-folie 200-2816  14,7m/4cm</t>
  </si>
  <si>
    <t>SEV-fólia 200-2816  14,7m/4cm</t>
  </si>
  <si>
    <t>SEV-Maxim II tak.léc 3,5m ezüst</t>
  </si>
  <si>
    <t>SEV-Maxim II tak.léc 1,8m ezüst</t>
  </si>
  <si>
    <t>SEV-Maxim II tak.léc 2,5m ezüst</t>
  </si>
  <si>
    <t>SEV-Maxim II tak.léc 6m ezüst</t>
  </si>
  <si>
    <t>SEV- tömítés üvegre 18/4 mm</t>
  </si>
  <si>
    <t>SEV- tömítés üvegre 18/8 mm</t>
  </si>
  <si>
    <t>SEV-Optima 16 fog.profil 2,4m ezüst</t>
  </si>
  <si>
    <t>SEV-Optima alsó vezetés 2m natúr</t>
  </si>
  <si>
    <t>SEV-Optima alsó vezetés 2,4m natúr</t>
  </si>
  <si>
    <t>SEV-Optima alsó vezetés 2m ezüst</t>
  </si>
  <si>
    <t>SEV-Optima alsó vezetés 2,4m ezüst</t>
  </si>
  <si>
    <t>O*</t>
  </si>
  <si>
    <t>SEV-támfalas kefe öntapadó 4,8x4mm</t>
  </si>
  <si>
    <t>SEV-felső vezetés Exclusive 1,2m olív</t>
  </si>
  <si>
    <t>SEV-fólia 200-2660  14,7m/4cm</t>
  </si>
  <si>
    <t>SEV-tömítés üvegre 10/6,4mm</t>
  </si>
  <si>
    <t>SEV-Slim Line II keret léc 2,7m ez.</t>
  </si>
  <si>
    <t>SEV-Line felső vezetés 2m alu natúr</t>
  </si>
  <si>
    <t>SEV-Line alsó vezetés 2m alu natúr</t>
  </si>
  <si>
    <t>SEV-Line vasalat szett 2 szárnyra-bal.</t>
  </si>
  <si>
    <t>SEV-Line vasalat szett 2 szárnyra-jobb.</t>
  </si>
  <si>
    <t>SEV-kétoldalú ragasztószalag 50mm    10m</t>
  </si>
  <si>
    <t>SEV-fólia 200-1844 14,7m/4cm</t>
  </si>
  <si>
    <t>SEV-felső görgő WPFc Duo</t>
  </si>
  <si>
    <t>SEV-fólia 200-2230 14,7m/4cm</t>
  </si>
  <si>
    <t>SEV-Beta 18 fog.profil  2,70m oliva</t>
  </si>
  <si>
    <t>SEV-fólia 200-2875, 14,7m/4cm</t>
  </si>
  <si>
    <t>SEV-felső vezetés Simple 6m ezüst</t>
  </si>
  <si>
    <t>SEV-alsó vezetés Simple 6m ezüst</t>
  </si>
  <si>
    <t>bal</t>
  </si>
  <si>
    <t>m</t>
  </si>
  <si>
    <t>AST-Joker spodní kolečko</t>
  </si>
  <si>
    <t>AST-Joker alsó kerék</t>
  </si>
  <si>
    <t>AST-Joker spodné koliesko</t>
  </si>
  <si>
    <t>AST-Joker dolne kółko</t>
  </si>
  <si>
    <t>AST-Joker stoper</t>
  </si>
  <si>
    <t>AST-uchw-LI ORIENT 2,7m srebr. (32/1)</t>
  </si>
  <si>
    <t>AST-felső sín 1,8m ezüst (32/1)</t>
  </si>
  <si>
    <t>AST-górny profil 1,8m srebr. (32/1)</t>
  </si>
  <si>
    <t>AST-felső sín 2,7m ezüst (32/1)</t>
  </si>
  <si>
    <t>AST-górny profil 2,7m srebr. (32/1)</t>
  </si>
  <si>
    <t>AST-felső sín 3,6m ezüst (32/1)</t>
  </si>
  <si>
    <t>AST-górny profil 3,6m srebr. (32/1)</t>
  </si>
  <si>
    <t>AST-alsó sín 1,8m ezüst (22/1)</t>
  </si>
  <si>
    <t>AST-dolny profil 1,8m srebr. (22/1)</t>
  </si>
  <si>
    <t>AST-alsó sín 2,7m ezüst (22/1)</t>
  </si>
  <si>
    <t>AST-dolny profil 2,7m srebr. (22/1)</t>
  </si>
  <si>
    <t>AST-alsó sín 3,6m ezüst (22/1)</t>
  </si>
  <si>
    <t>AST-dolny profil 3,6m srebr. (22/1)</t>
  </si>
  <si>
    <t>AST-sarokvas 1,8m ezüst (22/1)</t>
  </si>
  <si>
    <t>AST-kątownik 1,8m srebr. (22/1)</t>
  </si>
  <si>
    <t>AST-sarokvas 2,7m ezüst (22/1)</t>
  </si>
  <si>
    <t>AST-kątownik 2,7m srebr. (22/1)</t>
  </si>
  <si>
    <t>AST-sarokvas 3,6m ezüst (22/1)</t>
  </si>
  <si>
    <t>AST-kątownik 3,6m srebr. (22/1)</t>
  </si>
  <si>
    <t>AST- Łącz. Profil H 3m srebrn.</t>
  </si>
  <si>
    <t>AST-Smart felső görgő</t>
  </si>
  <si>
    <t>AST-Smart wózek górny</t>
  </si>
  <si>
    <t>AST-Smart alsó görgő</t>
  </si>
  <si>
    <t>AST-Smart wózek dolny</t>
  </si>
  <si>
    <t>AST-Luna rączka 2,7m srebrna</t>
  </si>
  <si>
    <t>AST-Luna rączka 5,4m srebrna</t>
  </si>
  <si>
    <t>AST-Twins fog.profil na10mm 2,7m ez.</t>
  </si>
  <si>
    <t>ATS-Twins listw.uchw. 2,7m na 10mm sreb.</t>
  </si>
  <si>
    <t>AW- takaró profilra 2,7m ez.</t>
  </si>
  <si>
    <t>AST-Zaślepka profilu 2,7m srebrna</t>
  </si>
  <si>
    <t>AST-Prestige rączka 5,4m oliwa lak.</t>
  </si>
  <si>
    <t>AST-komplet zaślepek do toru sreb.</t>
  </si>
  <si>
    <t>AST-Lux II rączka 2,7m oliwa</t>
  </si>
  <si>
    <t>AST-Lux II rączka 2,7m sreb.</t>
  </si>
  <si>
    <t>AST-TOWER fogantyú profil 5,4m ezüst</t>
  </si>
  <si>
    <t>AST-TOWER rączka 5,4m srebrna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</si>
  <si>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</si>
  <si>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</si>
  <si>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</si>
  <si>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</si>
  <si>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</si>
  <si>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</si>
  <si>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</si>
  <si>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</si>
  <si>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</si>
  <si>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</si>
  <si>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</si>
  <si>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</si>
  <si>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</si>
  <si>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</si>
  <si>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</si>
  <si>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</si>
  <si>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</si>
  <si>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</si>
  <si>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</si>
  <si>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</si>
  <si>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</si>
  <si>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</si>
  <si>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</si>
  <si>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</si>
  <si>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</si>
  <si>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</si>
  <si>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</si>
  <si>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</si>
  <si>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</si>
  <si>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AST-Elegant fog.profil 2,7m ez.(22/1)</t>
  </si>
  <si>
    <t>AST-Orient fog.profil 2,7m ez.(32/1)</t>
  </si>
  <si>
    <t>SEV-fólia 200-1700(111230) 14,7m/4cm</t>
  </si>
  <si>
    <t>SEV-fólia 200-3122(112381) 14,7m/4cm</t>
  </si>
  <si>
    <t>SEV-fólia 200-1317(111766) 14,7m/4cm</t>
  </si>
  <si>
    <t>SEV-fólia 200-2608(112169) 14,7m/4cm</t>
  </si>
  <si>
    <t>SEV-fólia 200-2986(112268) 14,7m/4cm</t>
  </si>
  <si>
    <t>SEV-Faworyt II fog.profil 2,7m ezüst</t>
  </si>
  <si>
    <t>SEV-Fólia 200-2234(112428) 14,7m/4cm</t>
  </si>
  <si>
    <t>SEV-fólia 200-1682(111056)0,06x14,7m</t>
  </si>
  <si>
    <t>SEV-összek.profil H18 3m fekete szálcs</t>
  </si>
  <si>
    <t>SEV-sarok profil K2 1,7m fekete szálcs</t>
  </si>
  <si>
    <t>SEV-sarok profil K2 2,35m fekete szálcs</t>
  </si>
  <si>
    <t>SEV-sarok profil K2 3m fekete szálcs</t>
  </si>
  <si>
    <t>S</t>
  </si>
  <si>
    <t>SEV-Karat fog,profil 2,7m oliva</t>
  </si>
  <si>
    <t>SEV-Fala fog,profil 10mm  2,70m oliva</t>
  </si>
  <si>
    <t>SEV-Polo fog,profil 10mm  2,70m oliva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</si>
  <si>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</si>
  <si>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</si>
  <si>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</si>
  <si>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</si>
  <si>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</si>
  <si>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</si>
  <si>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</si>
  <si>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</si>
  <si>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</si>
  <si>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</si>
  <si>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</si>
  <si>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</si>
  <si>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</si>
  <si>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</si>
  <si>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</si>
  <si>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</si>
  <si>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Összekötő H25 profil Simple (18mm)</t>
  </si>
  <si>
    <t>spojovací H25 profil Simple (18mm)</t>
  </si>
  <si>
    <t>profil łączący H25 Simple (18mm)</t>
  </si>
  <si>
    <t>spojovací H31 profil Simple (18mm)</t>
  </si>
  <si>
    <t>Összekötő H31 profil Simple (18mm)</t>
  </si>
  <si>
    <t>profil łączący H31 Simple (18mm)</t>
  </si>
  <si>
    <t>záslepka spodního vedení</t>
  </si>
  <si>
    <t>SEV-sablon görgőkhöz FFL 18mm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</si>
  <si>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</si>
  <si>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</si>
  <si>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</si>
  <si>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</si>
  <si>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</si>
  <si>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</si>
  <si>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</si>
  <si>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SEV-vezető tövis</t>
  </si>
  <si>
    <t>SEV-alsó vezetés Hide N 3m ezüst</t>
  </si>
  <si>
    <t>SEV-alsó vezetés Hide N 3m oliva</t>
  </si>
  <si>
    <t>SEVROLL - HIDE N dolné vedenie 3M OLIVA</t>
  </si>
  <si>
    <t>SEV-alsó vezetés Hide N 2,35m ezüst</t>
  </si>
  <si>
    <t>SEVROLL - HIDE N DOLNÉ VEDENIE 2,35M STR</t>
  </si>
  <si>
    <t>SEV-felső vezetés Ursus 1,2m natur</t>
  </si>
  <si>
    <t>SEVROLL-HORNÉ VEDENIE URSUS 1,2M SUROVÁ</t>
  </si>
  <si>
    <t>SEV-felső vezetés Ursus 1,8m natúr</t>
  </si>
  <si>
    <t>SEVROLL-horné vedenie URSUS 1,8M SUROVÁ</t>
  </si>
  <si>
    <t>SEV-Exclusive felső sín 3m olív</t>
  </si>
  <si>
    <t>SEVROLL-EXCLUSIVE HORNÉ VEDENIE 3M OLIVA</t>
  </si>
  <si>
    <t>SEV-Exclusive felső sín 3m ezüst</t>
  </si>
  <si>
    <t>SEV-Exclusive felső sín 1,8m ezüst</t>
  </si>
  <si>
    <t>SEV-MDF betés takaró csíkra 2,8m</t>
  </si>
  <si>
    <t>SEVROLL-MDF VLOŽKA PRE KRYCIU LIŠ. 2,7 m</t>
  </si>
  <si>
    <t>SEV-alsó tak.prof.1,7m oliva sö.szálcsi.</t>
  </si>
  <si>
    <t>SEV-alsó tak.profil 1,7m fekete szálcsi.</t>
  </si>
  <si>
    <t>SEV-alsó tak.prof.2,35m oliva sö.szálcsi</t>
  </si>
  <si>
    <t>SEV-alsó tak.profil 2.35m fekete szálcsi</t>
  </si>
  <si>
    <t>SEV-alsó tak.profil 3m oliva sö.szálcsi.</t>
  </si>
  <si>
    <t>SEV-Doubler II tak.léc 4,05 m ezüst</t>
  </si>
  <si>
    <t>SEV-Doubler II tak.léc 1,7 m  ezüst</t>
  </si>
  <si>
    <t>SEV-Doubler II tak.léc 2,35 m ezüst</t>
  </si>
  <si>
    <t>SEV-Doubler II tak.léc 3 m ezüst</t>
  </si>
  <si>
    <t>SEV-Doubler II tak.léc 6 m ezüst</t>
  </si>
  <si>
    <t>SEV-Doubler II tak.léc 2,35 m oliva</t>
  </si>
  <si>
    <t>SEV-Doubler II tak.léc 3 m oliva</t>
  </si>
  <si>
    <t>SEV-Doubler II tak.léc 4,05 m oliva</t>
  </si>
  <si>
    <t>SEV-Doubler II tak.léc 6 m oliva</t>
  </si>
  <si>
    <t>SEV-Future II fog.profil 3,5m ezüst</t>
  </si>
  <si>
    <t>SEV-Future II fog.profil 3,5m oliva</t>
  </si>
  <si>
    <t>SEV-Future II fog.profil 2,7m ezüst</t>
  </si>
  <si>
    <t>SEV-Maxim II alsó vezetés 2,5m ezüst</t>
  </si>
  <si>
    <t>SEV-Maxim alsó tak.profil 6m ezüst</t>
  </si>
  <si>
    <t>SEV-Smart alsó vezetés  3m olív</t>
  </si>
  <si>
    <t>SEV-Victoria II fog.prof.18mm 2,7m oliva</t>
  </si>
  <si>
    <t>SEV-Victoria II fog.prof.18mm 2,7m arany</t>
  </si>
  <si>
    <t>SEV-Future felső görgő 10mm (J+B)</t>
  </si>
  <si>
    <t>SEV-Gemini-2 fog.profil 2,7m ezüst</t>
  </si>
  <si>
    <t>SEV-Gemini-2 fog.profil 2,7m oliva</t>
  </si>
  <si>
    <t>SEV-Gemini-2 fog.profil 2,7m arany</t>
  </si>
  <si>
    <t>SEV-Focus 18 mm fog.profil 2,7m ezüst</t>
  </si>
  <si>
    <t>SEV-Everest görgő ferde szárnyra - 2db</t>
  </si>
  <si>
    <t>SEV-alsó tak.profil 3m ezüst</t>
  </si>
  <si>
    <t>SEV-alsó tak.profil 3m oliva</t>
  </si>
  <si>
    <t>SEV-alsó tak.profil 2,35m ezüst</t>
  </si>
  <si>
    <t>SEV-alsó tak.profil 2,35m oliva</t>
  </si>
  <si>
    <t>SEV-alsó tak.profil 1,7m ezüst</t>
  </si>
  <si>
    <t>SEV-alsó tak.profil 1,7m oliva</t>
  </si>
  <si>
    <t>SEV-alsó tak.profil 2,35m arany</t>
  </si>
  <si>
    <t>SEV-alsó tak.profil 1,7m arany</t>
  </si>
  <si>
    <t>SEV-alsó tak.profil 3m arany</t>
  </si>
  <si>
    <t>SEV-Tytan fog.profil 18mm 2,7m oliva</t>
  </si>
  <si>
    <t>SEV-Tytan fog.profil 18mm 2,7m ezüst</t>
  </si>
  <si>
    <t>SEV-Comfort felső vezetés 4,05M ezüs</t>
  </si>
  <si>
    <t>SEV-Comfort alsó vezetés 4,05m ezüst</t>
  </si>
  <si>
    <t>SEV-Comfort felső görgő 18mm - 2db</t>
  </si>
  <si>
    <t>SEV-Comfort felső vezetés 1,7m ezüst</t>
  </si>
  <si>
    <t>SEV-Comfort felső vezetés 2,35m olív</t>
  </si>
  <si>
    <t>SEV-Comfort felső vezetés 3m olív</t>
  </si>
  <si>
    <t>SEV-Comfort felső vezetés 4,05m olív</t>
  </si>
  <si>
    <t>SEV-Maxim alsó tak.profil 1,8m ezüst</t>
  </si>
  <si>
    <t>SEV-Maxim alsó tak.profil 2,5m ezüst</t>
  </si>
  <si>
    <t>SEV-Maxim alsó tak.profil 3,5m ezüst</t>
  </si>
  <si>
    <t>SEV-Maxim alsó tak.profil 4,3m ezüst</t>
  </si>
  <si>
    <t>SEV-spojovací lišta H16 3m stříbrná</t>
  </si>
  <si>
    <t>SEV-összekötő profil H16 3m ezüst</t>
  </si>
  <si>
    <t>SEV-spojovací lišta H16 3m oliva</t>
  </si>
  <si>
    <t>SEV-összekötő profil H16 3m oliva</t>
  </si>
  <si>
    <t>SEV-spojovací lišta H08/16 3m stříbrná</t>
  </si>
  <si>
    <t>SEV-spojovací lišta H08/16 3m oliva</t>
  </si>
  <si>
    <t>SEV-alsó görgő WD 18C HI-TEC - 2 db</t>
  </si>
  <si>
    <t>SEV-alsó görgő WD 10C HI-TEC - 2 db</t>
  </si>
  <si>
    <t>SEV-Maxim board felső görgő 18mm - 2 db</t>
  </si>
  <si>
    <t>SEV-csillapító 10/18mm 14-25kg balos</t>
  </si>
  <si>
    <t>SEV-csillapító 10/18mm 14-25kg jobbos</t>
  </si>
  <si>
    <t>SEV-csillapító 10/18mm 25-50kg balos</t>
  </si>
  <si>
    <t>SEV-csillapító 10/18mm 25-50kg jobbos</t>
  </si>
  <si>
    <t>K-SEV-ütk.csill. 10/18mm 14-25kg(J+B)</t>
  </si>
  <si>
    <t>SEV-összek.prof. H10 Decor 3m oliva</t>
  </si>
  <si>
    <t>SEV-Comfort felső vezetés 6m ezüst</t>
  </si>
  <si>
    <t>SEV-Comfort felső vezetés 6m oliva</t>
  </si>
  <si>
    <t>SEV-Comfort felső vezetés 2,35m ezüst</t>
  </si>
  <si>
    <t>SEV-Comfort felső vezetés 3m ezüst</t>
  </si>
  <si>
    <t>SEV-profil "U" DTD 16mm 3m ezüst</t>
  </si>
  <si>
    <t>SEV-Beta 16 fog.profil 2,70m ezüst</t>
  </si>
  <si>
    <t>SEV-Ergo 16 fog.profil 2,7m ezüst</t>
  </si>
  <si>
    <t>SEV-Fiesta 16 fog.profil 2,7m ezüst</t>
  </si>
  <si>
    <t>SEV-Factor 16 II-fog.profil ezüst 2,7m</t>
  </si>
  <si>
    <t>SEV-Factor 16 - fog.profil ezüst 2,7m</t>
  </si>
  <si>
    <t>SEV-Universal 16 fog.profil 2,7m ezüst</t>
  </si>
  <si>
    <t>SEV-Alfa II fog.profil 18mm  2,70m arany</t>
  </si>
  <si>
    <t>SEV-profil "U" 18mm 3m oliva szálcsiszol</t>
  </si>
  <si>
    <t>SEV-kapocs támfalas keféhez</t>
  </si>
  <si>
    <t>SEV-Comfort alsó vezetés 1,7m ezüs</t>
  </si>
  <si>
    <t>SEV-fék Hide N és M léchez</t>
  </si>
  <si>
    <t>SEV-összek.profil H10 Decor 3m ezüst</t>
  </si>
  <si>
    <t>SEV-Comfort alsó vezetés 1,7m oliva</t>
  </si>
  <si>
    <t>SEV-Comfort alsó vezetés 3m oliva</t>
  </si>
  <si>
    <t>SEV-alsó tak.prof.Simple 2m(18mm)oliva</t>
  </si>
  <si>
    <t>SEV-alsó vezetés Simple 6m oliva</t>
  </si>
  <si>
    <t>SEV-Simple pozycjoner do wózka dolnego</t>
  </si>
  <si>
    <t>SEV-ütközés csillap,10 és 18mm  14-25kg</t>
  </si>
  <si>
    <t>SEV-öntapadó fólia minták</t>
  </si>
  <si>
    <t>SEVROLL-VZORKOVNÍK SAMOLEPIACICH F.</t>
  </si>
  <si>
    <t>SEVROLL-MONT.PRÍPRAVOK NA DTD 10mm VEĽKÝ</t>
  </si>
  <si>
    <t>SEV-element mont. na DTD 10mm duży</t>
  </si>
  <si>
    <t>SEV-prodejní stojan na profily</t>
  </si>
  <si>
    <t>SEV-árusítható állvány profilokra</t>
  </si>
  <si>
    <t>SEV-predajný stojan na profily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</si>
  <si>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</si>
  <si>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</si>
  <si>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</si>
  <si>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</si>
  <si>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</si>
  <si>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</si>
  <si>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</si>
  <si>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</si>
  <si>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</si>
  <si>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Victoria</t>
  </si>
  <si>
    <t>Prosper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</si>
  <si>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</si>
  <si>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</si>
  <si>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</si>
  <si>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</si>
  <si>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</si>
  <si>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</si>
  <si>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</si>
  <si>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Systém 10</t>
  </si>
  <si>
    <t>ANB-folia ochr. 250mm/250m przezroczysta</t>
  </si>
  <si>
    <t>ANB-folia ochr. 300mm/250m przezroczysta</t>
  </si>
  <si>
    <t>ANB-folia ochr. 400mm/250m przezroczysta</t>
  </si>
  <si>
    <t>ANB-folia ochr. 500mm/250m przezroczysta</t>
  </si>
  <si>
    <t>ANB-folia ochr. 200mm/250m przezroczysta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</si>
  <si>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</si>
  <si>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</si>
  <si>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</si>
  <si>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</si>
  <si>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</si>
  <si>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</si>
  <si>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</si>
  <si>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</si>
  <si>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</si>
  <si>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</si>
  <si>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</si>
  <si>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</si>
  <si>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</si>
  <si>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</si>
  <si>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</si>
  <si>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</si>
  <si>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</si>
  <si>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</si>
  <si>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</si>
  <si>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</si>
  <si>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</si>
  <si>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</si>
  <si>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</si>
  <si>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</si>
  <si>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SEV-felső görgő Gemini szimmetr.10mm-2db</t>
  </si>
  <si>
    <t>SEV-Focus felső görgő 18mm - 2db</t>
  </si>
  <si>
    <t>SEV-becsúszt.támf.kefe 4,8x4 mm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</si>
  <si>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</si>
  <si>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</si>
  <si>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</si>
  <si>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</si>
  <si>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</si>
  <si>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</si>
  <si>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</si>
  <si>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</si>
  <si>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</si>
  <si>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</si>
  <si>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</si>
  <si>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</si>
  <si>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</si>
  <si>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</si>
  <si>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</si>
  <si>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</si>
  <si>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</si>
  <si>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</si>
  <si>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</si>
  <si>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</si>
  <si>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</si>
  <si>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</si>
  <si>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</si>
  <si>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</si>
  <si>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</si>
  <si>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</si>
  <si>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</si>
  <si>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</si>
  <si>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</si>
  <si>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</si>
  <si>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</si>
  <si>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</si>
  <si>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</si>
  <si>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</si>
  <si>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</si>
  <si>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</si>
  <si>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</si>
  <si>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</si>
  <si>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</si>
  <si>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</si>
  <si>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SEV-Focus II 16mm fog.profil 2,7m oliva</t>
  </si>
  <si>
    <t>SEV-Focus II 16mm fog.profil 2,7m ezüst</t>
  </si>
  <si>
    <t>SEV-Focus II 18mm fog.profil 2,7m oliva</t>
  </si>
  <si>
    <t>SEV-Focus II 16mm listwa uch. 2,7m srb.</t>
  </si>
  <si>
    <t>Focus II 18mm</t>
  </si>
  <si>
    <t>OKE-szczot.ochr.samoprzylep.6,7*12szar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</si>
  <si>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</si>
  <si>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</si>
  <si>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</si>
  <si>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</si>
  <si>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</si>
  <si>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</si>
  <si>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</si>
  <si>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</si>
  <si>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</si>
  <si>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</si>
  <si>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</si>
  <si>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</si>
  <si>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</si>
  <si>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</si>
  <si>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</si>
  <si>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</si>
  <si>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</si>
  <si>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</si>
  <si>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</si>
  <si>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</si>
  <si>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</si>
  <si>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</si>
  <si>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</si>
  <si>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SEV-Maxim összek.profil H25 1,8m ezüst</t>
  </si>
  <si>
    <t>SEV-wózek dolny WD 18C HI-TEC</t>
  </si>
  <si>
    <t>SEV-Micra vasalat szett 1 szárnyra</t>
  </si>
  <si>
    <t>SEV-System 10 II fog.prof.2,7m ezüst</t>
  </si>
  <si>
    <t>SEV-System 10 II fog.prof.2,7m oliva</t>
  </si>
  <si>
    <t>SEV-System 10 II fog.prof.2,7m arany</t>
  </si>
  <si>
    <t>SEVROLL-KRYCÍ, HERKULES 2, OLIVA 2,4M</t>
  </si>
  <si>
    <t>SEV-takaró csík Herkules 2  2,4m olív</t>
  </si>
  <si>
    <t>AST-összek.profil 3m ALU</t>
  </si>
  <si>
    <t>SEV-Herkules 2 horní vedení  3m alu</t>
  </si>
  <si>
    <t>SEV-Herkules 2 horné vedenie  3m alu</t>
  </si>
  <si>
    <t>SEV-Herkules 2 felső vezetés  3m alu</t>
  </si>
  <si>
    <t>SEVROLL-horné vedenie URSUS 3 M SUROVÁ</t>
  </si>
  <si>
    <t>SEV-felső vezetés Ursus 3m natúr</t>
  </si>
  <si>
    <t>SEV-Ursus-vasalt szett ZP-18 1 szá</t>
  </si>
  <si>
    <t>SEV-Herkules Glass vas.szett 100kg</t>
  </si>
  <si>
    <t>SEV-alsó vezetés Hide M 3m oliva</t>
  </si>
  <si>
    <t>SEV-Herkules vasalat szett  60kg, 1,2m</t>
  </si>
  <si>
    <t>SEV-Herkules vasalat szett  120kg, 1,2m</t>
  </si>
  <si>
    <t>SEV-Herkules vasalat szett  60kg, 1,5m</t>
  </si>
  <si>
    <t>SEV-Herkules vasalat szett  120kg, 1,5m</t>
  </si>
  <si>
    <t>SEV-Herkules vasalat szett  60kg, 1,8m</t>
  </si>
  <si>
    <t>SEV-Herkules vasalat szett  120kg, 1,8m</t>
  </si>
  <si>
    <t>SEV-Herkules vasalat szett  60kg, 2m</t>
  </si>
  <si>
    <t>SEV-Herkules vasalat szett  120kg, 2m</t>
  </si>
  <si>
    <t>SEV-Herkules vasalat szett  60kg, 2,4m</t>
  </si>
  <si>
    <t>SEV-Herkules vasalat szett  120kg, 2,4m</t>
  </si>
  <si>
    <t>SEV-Herkules vasalat szett  60kg, 3m</t>
  </si>
  <si>
    <t>SEV-Herkules vasalat szett  120kg, 3m</t>
  </si>
  <si>
    <t>SEV-Herkules vasalat szett  60kg</t>
  </si>
  <si>
    <t>SEV-Herkules vasalat szett  120kg</t>
  </si>
  <si>
    <t>SEV-Symetric vasalat szett 2 szárnyra</t>
  </si>
  <si>
    <t>SEV-Exclusive felső vezetés 1,8m oliva</t>
  </si>
  <si>
    <t>SEV-tak.prof.Herkules Glass 2m ezüst</t>
  </si>
  <si>
    <t>SEV-old.végz.tak.profilra Herkules Glas</t>
  </si>
  <si>
    <t>AST-Fiona II fog.prof. 2,7m ezüst</t>
  </si>
  <si>
    <t>AST-Fiona II rączka 2,7m srebrny</t>
  </si>
  <si>
    <t>SEV-Exclusive felső vezetés 3,6m ezüst</t>
  </si>
  <si>
    <t>AST-Prestige úch.lišta 2,7m CE802TX</t>
  </si>
  <si>
    <t>AST-Prestige úch.lišta 2,7 CE802TX</t>
  </si>
  <si>
    <t>AST-Prestige Fog profil 2,7m CE802TX</t>
  </si>
  <si>
    <t>AST-Prestige rączka 2,7m CE802TX</t>
  </si>
  <si>
    <t>AST-Prestige maska 4m CE802TX</t>
  </si>
  <si>
    <t>AST-Prestige tak.prof. 4m CE802TX</t>
  </si>
  <si>
    <t>AST-Prestige maskownica 4m CE802TX</t>
  </si>
  <si>
    <t>AST-Prestige vod.lišta 4m CE802TX</t>
  </si>
  <si>
    <t>AST-Prestige vez.sín 4m CE802TX</t>
  </si>
  <si>
    <t>AST-Prestige tor 4m CE802TX</t>
  </si>
  <si>
    <t>AST-Prestige krycí lišta 4m CE802TX</t>
  </si>
  <si>
    <t>AST-Prestige krycia lišta 4m CE802TX</t>
  </si>
  <si>
    <t>AST-Prestige tak.profil 4m CE802TX</t>
  </si>
  <si>
    <t>AST-Prestige Listwa mask. 4m CE802TX</t>
  </si>
  <si>
    <t>AST-Prestige profil H10 4m CE802TX</t>
  </si>
  <si>
    <t>AST-Prestige spod.vedení 4m CE802TX</t>
  </si>
  <si>
    <t>AST-Prestige alsó sín 4m CE802TX</t>
  </si>
  <si>
    <t>AST-Prestige tor dolny 4m CE802TX</t>
  </si>
  <si>
    <t>AST-Prestige horní vedení 4m CE802TX</t>
  </si>
  <si>
    <t>AST-Prestige horné vedenie 4m CE802TX</t>
  </si>
  <si>
    <t>AST-Prestige felső sín 4m CE802TX</t>
  </si>
  <si>
    <t>AST-Prestige tor górny 4m CE802TX</t>
  </si>
  <si>
    <t>AST-Heros fog.profil 5,4m ezüst</t>
  </si>
  <si>
    <t>AST-Heros rączka 5,4m srebrny</t>
  </si>
  <si>
    <t>SEV-Single profil falra rögzítője</t>
  </si>
  <si>
    <t>AST-betét AD8221 10mm 1350x900mm</t>
  </si>
  <si>
    <t>AST-wypełnienie AD8221 10mm 1350x900mm</t>
  </si>
  <si>
    <t>SEV-tłumienie 10 i 18mm  14 - 25kg</t>
  </si>
  <si>
    <t>KARTÁČ DORAZOVÝ SAMOLEP.  6,7*12mm hnědý</t>
  </si>
  <si>
    <t>OKE-öntap.támfalas kefe6,7*12mm barna</t>
  </si>
  <si>
    <t>OKE-Szczotka samoprzyl. 6,7*12mm brąz.</t>
  </si>
  <si>
    <t>SEV-Comfort felső vezetés 1,7m oliva</t>
  </si>
  <si>
    <t>OKE-öntap.támfalas kefe6,7*3mm szürke</t>
  </si>
  <si>
    <t>OKE-szczot.ochr.samoprzylep. 6,7*3 szar</t>
  </si>
  <si>
    <t>OKE-támfalas kefe öntapadó 6,7*5mm szür</t>
  </si>
  <si>
    <t>OKE-szczot.ochr.samoprzylep.6,7*5szar</t>
  </si>
  <si>
    <t>OKE-szczot.ochr.samoprzylep.6,7*10szar</t>
  </si>
  <si>
    <t>SEV-fólia 200-3122 (112381) 14,7m/4cm</t>
  </si>
  <si>
    <t>SEV-összek.profil H04 3m oliva</t>
  </si>
  <si>
    <t>SEV-dísz profilS20, 3 M ezüst</t>
  </si>
  <si>
    <t>SEV-összek.profil H08 3 m ezüst</t>
  </si>
  <si>
    <t>SEV-dísz profil S20, 3 M oliva</t>
  </si>
  <si>
    <t>SEV-dísz profil S10, 3 m ezüst</t>
  </si>
  <si>
    <t>SEV-dísz profil S10, 3 M oliva</t>
  </si>
  <si>
    <t>SEV-Comfort 18 II fog.prof.2,7m ezüst</t>
  </si>
  <si>
    <t>SEV-Comfort 18 II fog.prof.2,7m oliva</t>
  </si>
  <si>
    <t>SEV-Unicomfort II fog.prof.2,7m ezüst</t>
  </si>
  <si>
    <t>SEV-Unicomfort II fog.prof.2,7m oliva</t>
  </si>
  <si>
    <t>SEV-Unicomfort II fog.prof.2,7m arany</t>
  </si>
  <si>
    <t>SEV-Comfort 16 II fog.profil 2,7m ezüst</t>
  </si>
  <si>
    <t>SEV-Comfort 16 II fog.profil 2,7m oliva</t>
  </si>
  <si>
    <t>SEV-Future II rączka 2,7m srebrny</t>
  </si>
  <si>
    <t>SEV-Future II Fog profil  2,7m oliva</t>
  </si>
  <si>
    <t>ANB-bezp.fólia 200mm/250m transparentná</t>
  </si>
  <si>
    <t>ANB-bizt.fólia 200 mm/250 m átlátszó</t>
  </si>
  <si>
    <t>ANB-bizt.fólia 250 mm/250 m átlátszó</t>
  </si>
  <si>
    <t>ANB-bezp.fólia 300mm/250m transparentná</t>
  </si>
  <si>
    <t>ANB-bizt.fólia 300 mm/250 m átlátszó</t>
  </si>
  <si>
    <t>ANB-bezp.fólia 400transparentná</t>
  </si>
  <si>
    <t>ANB-bizt.fólia 400 mm/250 m átlátszó</t>
  </si>
  <si>
    <t>ANB-bezp.fólia 500mm/250m transparentná</t>
  </si>
  <si>
    <t>ANB-bizt.fólia 500 mm/250 m átlátszó</t>
  </si>
  <si>
    <t>OKE-kefkadoraz.samolep.6,7*4mm biely</t>
  </si>
  <si>
    <t>OKE-Öntapadó támf.kefe 6,7*4mm fehér</t>
  </si>
  <si>
    <t>OKE-szczot.odboj.samoprzyl.6,7*4mm biała</t>
  </si>
  <si>
    <t>SEV-Factor 18 II-uchw listw-środ.2,305m</t>
  </si>
  <si>
    <t>SEV-Star fog.profil  2,7m ezüst</t>
  </si>
  <si>
    <t>SEV-Alfa II fog.profil 18mm 2,70 m ezüst</t>
  </si>
  <si>
    <t>SEV-Alfa II fog.profil 18mm 2,70 m oliva</t>
  </si>
  <si>
    <t>SEV-Maxim felső görgő 18mm - 2db</t>
  </si>
  <si>
    <t>SEV-dolny wózek WD 18C HI-TEC - 2szt</t>
  </si>
  <si>
    <t>SEV-dolny wózek WD 10C HI-TEC - 2szt</t>
  </si>
  <si>
    <t>SEV-Master felső görgő 10 mm - 2db</t>
  </si>
  <si>
    <t>SEV-Optima csillapító szett J+B</t>
  </si>
  <si>
    <t>SEV-prow.górne  1,56m srebr.</t>
  </si>
  <si>
    <t>SEV-összek.profil H08/16 3m ezüst</t>
  </si>
  <si>
    <t>SEV-összek.profil H08/16 3m oliva</t>
  </si>
  <si>
    <t>SEV-prow.górne  2,355m srebr.+otwory</t>
  </si>
  <si>
    <t>SEV-prowadz.dolne 2,355m srebr.+otwory</t>
  </si>
  <si>
    <t>SEV-Maxim felső vezetés 4,3m oliva</t>
  </si>
  <si>
    <t>SEV-Maxim II alsó vezetés 4,3m oliva</t>
  </si>
  <si>
    <t>SEV-Maxim II tak.profil 4,3m oliva</t>
  </si>
  <si>
    <t>SEV-Prosper II. fog.profil 2,7m oliva</t>
  </si>
  <si>
    <t>SEV-Maxim vez.prof.4,3m oliva</t>
  </si>
  <si>
    <t>SEV-Maxim alsó tak.prof.4,3m oliva</t>
  </si>
  <si>
    <t>SEV-Maxim összek.profil H18 1,8m oliva</t>
  </si>
  <si>
    <t>SEV-Maxim összek.profil H18 2,5m oliva</t>
  </si>
  <si>
    <t>SEV-Maxim összek.profil H25 1,8m oliva</t>
  </si>
  <si>
    <t>SEV-Maxim összek.profil H25 2,5m oliva</t>
  </si>
  <si>
    <t>SEV-profil minták Simple(doboz)</t>
  </si>
  <si>
    <t>SEV-támf.kefe befűzős 14,5x4mm - 50m</t>
  </si>
  <si>
    <t>SEV-Oaza II fog.profil 2,7m ezüst</t>
  </si>
  <si>
    <t>SEV-Oaza II fog.profil 2,7m oliva</t>
  </si>
  <si>
    <t>SEV-Oaza II Fog profil 2,7m arany</t>
  </si>
  <si>
    <t>SEV-Oaza II rączka 2,7m złoty</t>
  </si>
  <si>
    <t>SEV-tak.prof.Prestige 6m ezüst</t>
  </si>
  <si>
    <t>SEV-fólia 200-2905, 14,7m/4cm</t>
  </si>
  <si>
    <t>SEV-hordozó csillap. 11027</t>
  </si>
  <si>
    <t>SEV-zabierak do tłumienia 11027</t>
  </si>
  <si>
    <t>SEV-fólia 200-2234  14,7m/6cm</t>
  </si>
  <si>
    <t>SEV-Simple sablon görgőkhöz FFL 18mm</t>
  </si>
  <si>
    <t>SEV-sarokv. 18x18mm  3m ezüst</t>
  </si>
  <si>
    <t>SEV-Optima alsó sín 6m natúr</t>
  </si>
  <si>
    <t>SEV-Optima horní sín 6m ezüst</t>
  </si>
  <si>
    <t>SEV-sarokvas 22x22mm  3m ezüst</t>
  </si>
  <si>
    <t>SEV-sarokvas 10x10mm  3m ezüst</t>
  </si>
  <si>
    <t>SEV-sarokvas 10x18mm  3m ezüst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</si>
  <si>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</si>
  <si>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</si>
  <si>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</si>
  <si>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</si>
  <si>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</si>
  <si>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SEV-Uno fogantyú profil18mm  2,70m oliva</t>
  </si>
  <si>
    <t>SEV-Pax fog.profil  3m ezüst</t>
  </si>
  <si>
    <t>SEV-Pax profil végzáró (4 db) ezüst</t>
  </si>
  <si>
    <t>SEV-Pax ajtó merevítő 3m ezüst</t>
  </si>
  <si>
    <t>SEV-Pax alsó takaró profil 3m ezüst</t>
  </si>
  <si>
    <t>SEV-Pax felső vezető sín 3m ezüst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</si>
  <si>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</si>
  <si>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</si>
  <si>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</si>
  <si>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</si>
  <si>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</si>
  <si>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</si>
  <si>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</si>
  <si>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</si>
  <si>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</si>
  <si>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r>
      <t xml:space="preserve">Rex  </t>
    </r>
    <r>
      <rPr>
        <b/>
        <u/>
        <sz val="10"/>
        <color indexed="12"/>
        <rFont val="Arial"/>
        <family val="2"/>
        <charset val="238"/>
      </rPr>
      <t>systém Maxim</t>
    </r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</si>
  <si>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</si>
  <si>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</si>
  <si>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</si>
  <si>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</si>
  <si>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</si>
  <si>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</si>
  <si>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</si>
  <si>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</si>
  <si>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</si>
  <si>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SEV-Rex fogantyú profil 2,7m ezüst</t>
  </si>
  <si>
    <t>Ozdobné nalepovací lišty</t>
  </si>
  <si>
    <t>SEV-Alfa II profil 18mm 2,7m RAL9003 fé.</t>
  </si>
  <si>
    <t>v této barvě a délce se daný profil nevyrábí</t>
  </si>
  <si>
    <t>SEV-sarokvas 17x11mm  2,35m RAL9003 fé.</t>
  </si>
  <si>
    <t>SEV-sarokvas 17x11mm  1,7m RAL9003 fé.</t>
  </si>
  <si>
    <t>SEV-összek.prof. H10 3m RAL9003 fény.</t>
  </si>
  <si>
    <t>SEV-felső vezető sín 1,7m RAL9003 fé.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</si>
  <si>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</si>
  <si>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</si>
  <si>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</si>
  <si>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</si>
  <si>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</si>
  <si>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</si>
  <si>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</si>
  <si>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SEV-spojovacia lišta H16 3m oliva</t>
  </si>
  <si>
    <t>SEV-spojovacia lišta H08 16 3m strie</t>
  </si>
  <si>
    <t>SEV-spojovacia lišta H08/16 3m oliva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</si>
  <si>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</si>
  <si>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</si>
  <si>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</si>
  <si>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</si>
  <si>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</si>
  <si>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</si>
  <si>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</si>
  <si>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</si>
  <si>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</si>
  <si>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</si>
  <si>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</si>
  <si>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</si>
  <si>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A szárny maximális szélessége  1 100 mm lehet!!!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</si>
  <si>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</si>
  <si>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</si>
  <si>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</si>
  <si>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</si>
  <si>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</si>
  <si>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</si>
  <si>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</si>
  <si>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</si>
  <si>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</si>
  <si>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</si>
  <si>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</si>
  <si>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</si>
  <si>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</si>
  <si>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</si>
  <si>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</si>
  <si>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</si>
  <si>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</si>
  <si>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</si>
  <si>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SEV-alsó vezetés Hide N 6m oliva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</si>
  <si>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</si>
  <si>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</si>
  <si>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</si>
  <si>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</si>
  <si>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</si>
  <si>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</si>
  <si>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</si>
  <si>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</si>
  <si>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</si>
  <si>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</si>
  <si>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</si>
  <si>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</si>
  <si>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</si>
  <si>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SEV-alsó tak.profil 1,7m RAL9003 fény.</t>
  </si>
  <si>
    <t>SEV-Samod.SEVROMATIC MINI SV-25 (2szt.)</t>
  </si>
  <si>
    <t>SEV-Samod.SEVROMATIC CENTRAL SV-25 (1szt</t>
  </si>
  <si>
    <t>SEV-Klin do płyty (100szt)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</si>
  <si>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</si>
  <si>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</si>
  <si>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</si>
  <si>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</si>
  <si>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</si>
  <si>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</si>
  <si>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</si>
  <si>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</si>
  <si>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</si>
  <si>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</si>
  <si>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</si>
  <si>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</si>
  <si>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</si>
  <si>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</si>
  <si>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</si>
  <si>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</si>
  <si>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</si>
  <si>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</si>
  <si>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</si>
  <si>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</si>
  <si>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</si>
  <si>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</si>
  <si>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</si>
  <si>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</si>
  <si>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</si>
  <si>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</si>
  <si>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</si>
  <si>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</si>
  <si>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</si>
  <si>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</si>
  <si>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</si>
  <si>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</si>
  <si>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</si>
  <si>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</si>
  <si>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Blue 18 mm ( ramowy)</t>
  </si>
  <si>
    <t>SEV-Samodom. SEVROMATIC SV-25 (kpl.L+P)</t>
  </si>
  <si>
    <t>K-SEV-ütk.csill.10/18mm 25-50kg(J+B)</t>
  </si>
  <si>
    <t>SEV-Samodom. SEVROMATIC SV-50 (kpl.L+P)</t>
  </si>
  <si>
    <t>OKE-kefe öntapadó6,7*12mm fehér</t>
  </si>
  <si>
    <t>OKE-kefe öntapadó 6,7*12mm stürke</t>
  </si>
  <si>
    <t>SEV-Rącz.Alfa II 18mm 2,7m biały poł.</t>
  </si>
  <si>
    <t>SEV-Rączka Alfa 16/18 II j.brąz-2,70m</t>
  </si>
  <si>
    <t>SEV-Rączka Alfa 16/18 II srebrna-2,70m</t>
  </si>
  <si>
    <t>SEV-Rączka Alfa 16/18 II złota-2,70m</t>
  </si>
  <si>
    <t>MSE-Rączka Beta 16 sreb.-2,70m</t>
  </si>
  <si>
    <t>SEV-Beta 18 rączka  2,70m jasny brąz</t>
  </si>
  <si>
    <t>SEV-Beta 18 fog.prof.2,70m ezüst</t>
  </si>
  <si>
    <t>SEV-Beta 18 rączka 2,70m srebrna</t>
  </si>
  <si>
    <t>SEV-bizt.fólia 300mm/50m transzparens</t>
  </si>
  <si>
    <t>SEV-FOLIA OCHR. SAMOP.TRANSP.30 (dł.50m)</t>
  </si>
  <si>
    <t>SEV-bizt.fólia 500mm/50m transzparens</t>
  </si>
  <si>
    <t>SEV-folia ochr. 500mm/50m przeźroczysty</t>
  </si>
  <si>
    <t>SEV-Blue felső vezetés 1,5m oliva</t>
  </si>
  <si>
    <t>SEV-Blue felső vezetés 1,5m ezüst</t>
  </si>
  <si>
    <t>SEV-Blue felső vezetés 2,5m oliva</t>
  </si>
  <si>
    <t>SEV-Blue felső vezetés 2,5m ezüst</t>
  </si>
  <si>
    <t>SEV-Blue felső vezetés 2m oliva</t>
  </si>
  <si>
    <t>SEV-Blue felső vezetés 2m ezüst</t>
  </si>
  <si>
    <t>SEV-Blue felső vezetés 3m oliva</t>
  </si>
  <si>
    <t>SEV-Blue felső vezetés 3m ezüst</t>
  </si>
  <si>
    <t>SEV-Blue felső vezetés 4m oliva</t>
  </si>
  <si>
    <t>SEV-Blue felső vezetés 4m ezüst</t>
  </si>
  <si>
    <t>SEV-Blue felső vezetés 6m oliva</t>
  </si>
  <si>
    <t>SEV-Blue felső vezetés 6m ezüst</t>
  </si>
  <si>
    <t>SEV-Blue-C alsó vezetés 1,5m oliva</t>
  </si>
  <si>
    <t>SEV-Blue-C alsó vezetés 1,5m ezüst</t>
  </si>
  <si>
    <t>SEV-Blue-C alsó vezetés 3m ezüst</t>
  </si>
  <si>
    <t>SEV-Blue-C alsó vezetés 2,5m oliva</t>
  </si>
  <si>
    <t>SEV-Blue-C alsó vezetés 2m oliva</t>
  </si>
  <si>
    <t>SEV-Blue-C alsó vezetés 2m ezüst</t>
  </si>
  <si>
    <t>SEV-Blue-C alsó vezetés 4m ezüst</t>
  </si>
  <si>
    <t>SEV-Blue-C alsó vezetés 3m oliva</t>
  </si>
  <si>
    <t>SEV-Blue-C alsó vezetés 6m ezüst</t>
  </si>
  <si>
    <t>SEV-Blue-C alsó vezetés 4m oliva</t>
  </si>
  <si>
    <t>SEV-Blue-C alsó vezetés 6m oliva</t>
  </si>
  <si>
    <t>SEV-Blue-V alsó vezetés 1,5m oliva</t>
  </si>
  <si>
    <t>SEV-Blue-V alsó vezetés 1,5m ezüst</t>
  </si>
  <si>
    <t>SEV-Blue-V alsó vezetés 2,5m oliva</t>
  </si>
  <si>
    <t>SEV-Blue-V alsó vezetés2,5m ezüst</t>
  </si>
  <si>
    <t>SEV-Blue-V alsó vezetés 2m oliva</t>
  </si>
  <si>
    <t>SEV-Blue-V alsó vezetés 2m ezüst</t>
  </si>
  <si>
    <t>SEV-Blue-V alsó vezetés 3m oliva</t>
  </si>
  <si>
    <t>SEV-Blue-V alsó vezetés 3m ezüst</t>
  </si>
  <si>
    <t>SEV-Blue-V alsó vezetés 4m oliva</t>
  </si>
  <si>
    <t>SEV-Blue-V alsó vezetés 4m ezüst</t>
  </si>
  <si>
    <t>SEV-Blue-V alsó vezetés 6m oliva</t>
  </si>
  <si>
    <t>SEV-Blue-V alsó vezetés6m ezüst</t>
  </si>
  <si>
    <t>SEV-Stoper do toru Hide (2szt.)</t>
  </si>
  <si>
    <t>SEV-Cleft alsó vezetés 1,7m oliva</t>
  </si>
  <si>
    <t>SEV-Tor dolny Cleft j.brąz-1,70m</t>
  </si>
  <si>
    <t>SEV-Cleft alsó vezetés 1,7m ezüst</t>
  </si>
  <si>
    <t>SEV-Tor dolny Cleft srebrny-1,70m</t>
  </si>
  <si>
    <t>SEV-Tor dolny Cleft złoty-1,70m</t>
  </si>
  <si>
    <t>SEV-Cleft alsó vezetés 2,35m oliva</t>
  </si>
  <si>
    <t>SEV-Tor dolny Cleft j.brąz-2,35m</t>
  </si>
  <si>
    <t>SEV-Cleft alsó vezetés 2,35m ezüst</t>
  </si>
  <si>
    <t>SEV-Tor dolny Cleft srebrny-2,35m</t>
  </si>
  <si>
    <t>SEV-Cleft alsó vezetés 3m olív</t>
  </si>
  <si>
    <t>SEV-Tor dolny Cleft j.brąz-3,00m</t>
  </si>
  <si>
    <t>SEV-Cleft alsó vezetés 3m ezüst</t>
  </si>
  <si>
    <t>SEV-Tor dolny Cleft srebrny-3,00m</t>
  </si>
  <si>
    <t>SEV-Cleft alsó vezetés 3m arany</t>
  </si>
  <si>
    <t>SEV-Tor dolny Cleft złoty-3,00m</t>
  </si>
  <si>
    <t>SEV-Cleft alsó vezetés 4,05m oliva</t>
  </si>
  <si>
    <t>SEV-Tor dolny Cleft j.brąz-4,05m</t>
  </si>
  <si>
    <t>SEV-Cleft alsó vezetés 4,05m ezüst</t>
  </si>
  <si>
    <t>SEV-Tor dolny Cleft srebrny-4,05m</t>
  </si>
  <si>
    <t>SEV-Cleft alsó vezetés 4,05m arany</t>
  </si>
  <si>
    <t>SEV-Tor dolny Cleft złoty-4,05m</t>
  </si>
  <si>
    <t>SEV-Cleft alsó vezetés 6m ezüst</t>
  </si>
  <si>
    <t>SEV- Cleft Tor dolny 6m, srebrny</t>
  </si>
  <si>
    <t>SEV-Rączka Comfort 16 II j.brąz-2,70m</t>
  </si>
  <si>
    <t>SEV-Rączka Comfort 16 II srebrna-2,70m</t>
  </si>
  <si>
    <t>SEV-Rączka Comfort 18 II srebrna-2,70m</t>
  </si>
  <si>
    <t>SEV-Rączka Comfort 18 II j.brąz-2,70m</t>
  </si>
  <si>
    <t>SEV-Tor górny Comfort-Decor j.brąz-1,70m</t>
  </si>
  <si>
    <t>SEV-Tor górny Comfort-Decor sreb.-1,70m</t>
  </si>
  <si>
    <t>SEV-Tor górny Comfort-Decor j.brąz-2,35m</t>
  </si>
  <si>
    <t>SEV-Tor górny Comfort-Decor sreb.-2,35m</t>
  </si>
  <si>
    <t>SEV-Tor górny Comfort-Decor j.brąz-3,00m</t>
  </si>
  <si>
    <t>SEV-Tor górny Comfort-Decor sreb.-3,00m</t>
  </si>
  <si>
    <t>SEV-Tor górny Comfort-Decor j.brąz-4,05m</t>
  </si>
  <si>
    <t>SEV-Tor górny Comfort-Decor sreb.-4,05m</t>
  </si>
  <si>
    <t>SEV-Tor górny Comfort-Decor sreb.-6,00m</t>
  </si>
  <si>
    <t>SEV-Tor górny Comfort-Decor j.brąz-6,00m</t>
  </si>
  <si>
    <t>SEV-Wózek prow.Comfort WPCm.-DUO (2szt.)</t>
  </si>
  <si>
    <t>SEV-Tor dolny Comfort j.brąz-1,70m</t>
  </si>
  <si>
    <t>SEV-Tor dolny Comfort srebrny-1,70m</t>
  </si>
  <si>
    <t>SEV-Tor dolny Comfort j.brąz-3,00m</t>
  </si>
  <si>
    <t>SEV-Tor dolny Comfort srebrny-4,05m</t>
  </si>
  <si>
    <t>SEV-távtartó profil 04 3m fehér fényes</t>
  </si>
  <si>
    <t>SEV-dorazový kartáč samolepící 4,8x4mm</t>
  </si>
  <si>
    <t>SEV-Szczotka odb. z klejem szara-4,8x4,0</t>
  </si>
  <si>
    <t>SEV-Szczotka p.kurz. z klej.szara 6,7x13</t>
  </si>
  <si>
    <t>SEV-Szczotka odb. z klejem szara-6,7x4,0</t>
  </si>
  <si>
    <t>SEV-Szczo.odb.z klej.szara-6,7x4,0(100m)</t>
  </si>
  <si>
    <t>SEV-támf.kefe becsúsztatthat.14,5x4mm</t>
  </si>
  <si>
    <t>SEV-Szczotka odb. b.kleju szara 14,5x4,0</t>
  </si>
  <si>
    <t>SEV-Szcz.odb.b.kleju szara 14,5x4 (50mb)</t>
  </si>
  <si>
    <t>SEV-Szczotka odb. b.kleju szara 4,8x4,0</t>
  </si>
  <si>
    <t>SEV- támfalas kefe befűzős 4,8x4mm fehér</t>
  </si>
  <si>
    <t>SEV-Szczotka odb. b.kleju BIAŁA 4,8x4,0</t>
  </si>
  <si>
    <t>SEV-támfalas kefe rácsúsztatható 4,8x6mm</t>
  </si>
  <si>
    <t>SEV-Szczotka odb. b.kleju szara 4,8x6,0</t>
  </si>
  <si>
    <t>SEV-támfalas kefe befűz.4,8x9mm</t>
  </si>
  <si>
    <t>SEV-Szczotka odb. b.kleju szara 4,8x9,0</t>
  </si>
  <si>
    <t>SEV-támfalas kefe befűzős 14,5x4mm fehér</t>
  </si>
  <si>
    <t>SEV-Szczotka odb. b.kleju BIAŁA 14,5x4,0</t>
  </si>
  <si>
    <t>SEV-Doubler II tak.profil 1,7 m oliva</t>
  </si>
  <si>
    <t>SEV-Zaślepka toru Doubler II j.brąz-1,7m</t>
  </si>
  <si>
    <t>SEV-Zaślepka toru Doubler II sreb.-1,70</t>
  </si>
  <si>
    <t>SEV-Zaślepka toru Doubler II j.brąz-2,35</t>
  </si>
  <si>
    <t>SEV-Zaślepka toru Doubler II sreb.-2,35</t>
  </si>
  <si>
    <t>SEV-Zaślepka toru Doubler II j.brąz-3m</t>
  </si>
  <si>
    <t>SEV-Zaślepka toru Doubler II sreb.-3,00</t>
  </si>
  <si>
    <t>SEV-Zaślepka toru Doubler II j.brąz-4,05</t>
  </si>
  <si>
    <t>SEV-Zaślepka do toru Doubler sreb.-4,05m</t>
  </si>
  <si>
    <t>SEV-Zaślepka toru Doubler II j.brąz-6m</t>
  </si>
  <si>
    <t>SEV-Zaślepka toru Doubler II sreb.-6,00</t>
  </si>
  <si>
    <t>SEV-Doubler II alsó sín 1,7m oliva</t>
  </si>
  <si>
    <t>SEV-Tor dolny Doubler II j.brąz-1,70m</t>
  </si>
  <si>
    <t>SEV-Doubler II alsó vezetés 1,7m ezüst</t>
  </si>
  <si>
    <t>SEV-Tor dolny Doubler II srebrny-1,70m</t>
  </si>
  <si>
    <t>SEV-Doubler II alsó sín 2,35m oliva</t>
  </si>
  <si>
    <t>SEV-Tor dolny Doubler II j.brąz-2,35m</t>
  </si>
  <si>
    <t>SEV-Doubler II alsó vezetés 2,35m ezüst</t>
  </si>
  <si>
    <t>SEV-Tor dolny Doubler II srebrny-2,35m</t>
  </si>
  <si>
    <t>SEV-Doubler II alsó sín 3m oliva</t>
  </si>
  <si>
    <t>SEV-Tor dolny Doubler II j.brąz-3,00m</t>
  </si>
  <si>
    <t>SEV-Doubler II alsó vezetés 3m ezüst</t>
  </si>
  <si>
    <t>SEV-Tor dolny Doubler II srebrny-3,00m</t>
  </si>
  <si>
    <t>SEV-Doubler II alsó sín 4,05m oliva</t>
  </si>
  <si>
    <t>SEV-Tor dolny Doubler II j.brąz-4,05m</t>
  </si>
  <si>
    <t>SEV-Doubler II alsó vezetés 4,05m ezüst</t>
  </si>
  <si>
    <t>SEV-Tor dolny Doubler-Dec.II sreb.-4,05m</t>
  </si>
  <si>
    <t>SEV-Doubler II Tor dolny 4,05m złoty</t>
  </si>
  <si>
    <t>SEV-Doubler II alsó sín 6m oliva</t>
  </si>
  <si>
    <t>SEV-Tor dolny Doubler II j.brąz-6,00m</t>
  </si>
  <si>
    <t>SEV-Doubler II alsó vezetés 6m ezüst</t>
  </si>
  <si>
    <t>SEV-Tor dolny Doubler II srebrny-6,00m</t>
  </si>
  <si>
    <t>SEV-tartó elem szekr.ferde mennyegz.</t>
  </si>
  <si>
    <t>SEV-Elegant II alsó vezetés 1,7m fényes</t>
  </si>
  <si>
    <t>SEV-Tor dolny Elegant  biały POŁ.1,70m</t>
  </si>
  <si>
    <t>SEV-Elegant II alsó vez.1,7m fekete szál</t>
  </si>
  <si>
    <t>SEV-Tor dolny Elegant czarny szcz.-1,70m</t>
  </si>
  <si>
    <t>SEV-Elegant II alsó vezetés 1,7m oliva</t>
  </si>
  <si>
    <t>SEV-Elegant II alsó vezetés 1,7m szálcsi</t>
  </si>
  <si>
    <t>SEV-Tor dolny Elegant.j.brąz szcz.1,70m.</t>
  </si>
  <si>
    <t>SEV-Elegant IIalsó vez.1,7m ol.sö.szálcs</t>
  </si>
  <si>
    <t>SEV-Tor dolny Elegant koniak szcz.-1,7m</t>
  </si>
  <si>
    <t>SEV-Elegant II alsó sín 1,7m ezüst</t>
  </si>
  <si>
    <t>SEV-Elegant II tor dolny 1,7m srebrny</t>
  </si>
  <si>
    <t>SEV-Elegant II alsó sín 1,7m arany</t>
  </si>
  <si>
    <t>SEV-Elegant II tor dolny 1,7m złoty</t>
  </si>
  <si>
    <t>SEV-Elegant II aló vezetés 2,35m fényes</t>
  </si>
  <si>
    <t>SEV-Elegant tor doln.2,35m biały POŁ</t>
  </si>
  <si>
    <t>SEV-Elegant II alsó vez.2,35m fekete szá</t>
  </si>
  <si>
    <t>SEV-Tor dolny Elegant czarny szcz. 2,35m</t>
  </si>
  <si>
    <t>SEV-Elegant II alsó sín 2,35m oliva</t>
  </si>
  <si>
    <t>SEV-Elegant II alsó vezetés 2,35m szálcs</t>
  </si>
  <si>
    <t>SEV-Tor dolny Elegant.j.brąz szcz.2,35m</t>
  </si>
  <si>
    <t>SEV-Elegant II alsó vez.2,35m ol.sö.szál</t>
  </si>
  <si>
    <t>SEV-Tor dolny Elegant koniak szcz. 2,35m</t>
  </si>
  <si>
    <t>SEV-Elegant II alsó sín 2,35m ezüst</t>
  </si>
  <si>
    <t>SEV-Elegant II tor dolny 2,35m srebrny</t>
  </si>
  <si>
    <t>SEV-Elegant II alsó sín 2,35m arany</t>
  </si>
  <si>
    <t>SEV-Elegant II tor dolny 2,35m złoty</t>
  </si>
  <si>
    <t>SEV-Elegant II alsó vezetés 3m fényes fe</t>
  </si>
  <si>
    <t>SEV-Tor dolny Elegant  biały POŁ.-3m.</t>
  </si>
  <si>
    <t>SEV-Elegant II alsó sín 3m fehér matt</t>
  </si>
  <si>
    <t>SEV-Tor dolny Elegant-Dec.RAL 9003m-3,0m</t>
  </si>
  <si>
    <t>SEV-Elegant II alsó vezetés 3m fekete sz</t>
  </si>
  <si>
    <t>SEV-Tor dolny Elegant czarny szcz. 3m</t>
  </si>
  <si>
    <t>SEV-Elegant II alsó sín 3m olíva</t>
  </si>
  <si>
    <t>SEV-Tor dolny Elegant-Decor j.brąz-3,00m</t>
  </si>
  <si>
    <t>SEV-Elegant II alsó vezetés 3m szálcs.ol</t>
  </si>
  <si>
    <t>SEV-Tor dolny Elegant.j.brąz szcz.3,00m</t>
  </si>
  <si>
    <t>SEV-Elegant II als.vez.3m oliva söt.szál</t>
  </si>
  <si>
    <t>SEV-Tor dolny Elegant koniak szcz. 3m</t>
  </si>
  <si>
    <t>SEV-Elegant II alsó sín 3m ezüst</t>
  </si>
  <si>
    <t>SEV-Elegant II tor dolny 3m srebrny</t>
  </si>
  <si>
    <t>SEV-Elegant II alsó sín 3m arany</t>
  </si>
  <si>
    <t>SEV-Elegant II tor dolny 3m złoty</t>
  </si>
  <si>
    <t>SEV-Elegant II aló vezetés 4,05m fényes</t>
  </si>
  <si>
    <t>SEV-Elegant tor doln.4,05m biały POŁ.</t>
  </si>
  <si>
    <t>SEV-Elegant II alsó vez.4,05m fekete szá</t>
  </si>
  <si>
    <t>SEV-Tor dolny Elegant czarny szcz.4,05m</t>
  </si>
  <si>
    <t>SEV-Elegant II alsó sín 4,05m olíva</t>
  </si>
  <si>
    <t>SEV-Elegant II alsó vezetés 4,05m szálcs</t>
  </si>
  <si>
    <t>SEV-Tor dolny Elegant.j.brąz szcz.4,05m</t>
  </si>
  <si>
    <t>SEV-Elegant II alsó vez.4,05m ol.sö.szál</t>
  </si>
  <si>
    <t>SEV-Tor dolny Elegant koniak szcz. 4,05</t>
  </si>
  <si>
    <t>SEV-Elegant II alsó sín 4,05m ezüst</t>
  </si>
  <si>
    <t>SEV-Elegant II tor dolny 4,05m srebrny</t>
  </si>
  <si>
    <t>SEV-Elegant II alsó sín 4,05m arany</t>
  </si>
  <si>
    <t>SEV-Elegant II tor dolny 4,05m złoty</t>
  </si>
  <si>
    <t>SEV-Elegant II al.vez.6m fehér fényes</t>
  </si>
  <si>
    <t>SEV-Tor dolny Elegant RAL biały POŁ-6m</t>
  </si>
  <si>
    <t>SEV-Elegant II alsó vez.6m fekete szálcs</t>
  </si>
  <si>
    <t>SEV-Tor dolny Elegant- czarny szcz.-6,0m</t>
  </si>
  <si>
    <t>SEV-Elegant II alsó vezetés 6m oliva</t>
  </si>
  <si>
    <t>SEV-Elegant II alsó vez.6m szálcs.olív</t>
  </si>
  <si>
    <t>SEV-Elegant II alsó vez. 6m oliva sö. ka</t>
  </si>
  <si>
    <t>SEV-Tor dolny Elegant-koniak szczotk.-6m</t>
  </si>
  <si>
    <t>SEV-Elegant II alsó vezetés 6m ezüst</t>
  </si>
  <si>
    <t>SEV-Elegant II alsó sín 6m arany</t>
  </si>
  <si>
    <t>SEV-Elegant II tor dolnyí 6m złoty</t>
  </si>
  <si>
    <t>SEV-Era fogantyú profil 18mm 2,70m oliva</t>
  </si>
  <si>
    <t>SEV-Era fogantyú profil 18mm 2,70m ezüst</t>
  </si>
  <si>
    <t>MSE-Rączka Ergo 16 sreb.-2,70m(Macedonia</t>
  </si>
  <si>
    <t>SEV-Ergo fog.profil 2,7m oliva</t>
  </si>
  <si>
    <t>SEV-Rączka Ergo 18 j.brąz-2,70m</t>
  </si>
  <si>
    <t>SEV-Ergo fog.profil 2,7m ezüst</t>
  </si>
  <si>
    <t>SEV-Rączka Ergo 18 srebrna-2,70m</t>
  </si>
  <si>
    <t>SEV-szett Everest - FOX II fog.prof.</t>
  </si>
  <si>
    <t>SEV-Zestaw do drzwi ze skosami ZE-Fox</t>
  </si>
  <si>
    <t>SEV-Everest vezető profil 3m oliva</t>
  </si>
  <si>
    <t>SEV-Tor do drzwi Everest j.brąz-3m</t>
  </si>
  <si>
    <t>SEV-Tor do drzwi Everest sreb.-3,00m</t>
  </si>
  <si>
    <t>SEV-Wózek prow.Everest WPEv.-DUO (2szt.)</t>
  </si>
  <si>
    <t>SEV-Factor 16 - úchytová lišta stříbrná 2,7m</t>
  </si>
  <si>
    <t>SEV-ZESTAW B2 16 sreb.-2,70m(Macedonia)</t>
  </si>
  <si>
    <t>SEV-Factor 16-úchytová lišta strieborná</t>
  </si>
  <si>
    <t>SEV-Factor 16 II-fog.profil olíva 2,7m</t>
  </si>
  <si>
    <t>SEV-Racka Factor16 II j.braz-2,70m</t>
  </si>
  <si>
    <t>SEV-Racka Factor16 II srebrna-2,70m</t>
  </si>
  <si>
    <t>SEV- Factor 18 II-fog.prof. oliva 2,7m</t>
  </si>
  <si>
    <t>SEV-Racka Factor18 II j.braz-2,70m</t>
  </si>
  <si>
    <t>SEV-Factor 18 II-fog.prof.ezüst 2,7m</t>
  </si>
  <si>
    <t>SEV-Raczka Factor 18 II srebrna-2,70m</t>
  </si>
  <si>
    <t>SEV- Factor 18 II-fog.profil arany 2,7m</t>
  </si>
  <si>
    <t>SEV-Racka Factor18 II zlatá-2,70m</t>
  </si>
  <si>
    <t>SEV-Fala fog.prof. 10mm  2,5m oliva</t>
  </si>
  <si>
    <t>SEV-Rączka Fala j.brąz-2,50m.</t>
  </si>
  <si>
    <t>SEV-Fala fog.prof. 10mm 2,5m ezüst</t>
  </si>
  <si>
    <t>SEV-Rączka Fala srebrna-2,50m.</t>
  </si>
  <si>
    <t>SEV-Rączka Fala j.brąz-2,70m.</t>
  </si>
  <si>
    <t>SEV-Fala fog.profil 10mm 2,70m ezüst</t>
  </si>
  <si>
    <t>SEV-Rączka Fala srebna-2,70m</t>
  </si>
  <si>
    <t>SEV-Faworyt II fog.pro.2,7m fényes fehér</t>
  </si>
  <si>
    <t>SEV-Rącz.Faworyt II  biały POŁ.2,70m</t>
  </si>
  <si>
    <t>SEV-Faworyt II fo.prof.2,7m fehér matt</t>
  </si>
  <si>
    <t>SEV-Rączka Faworyt II 2,7m RAL9003 mat</t>
  </si>
  <si>
    <t>SEV-Faworyt II fog.profil 2,7m oliva</t>
  </si>
  <si>
    <t>SEV-Faworyt II rączka 2,7m j.brąz</t>
  </si>
  <si>
    <t>SEV-Rączka Faworyt 16/18 II sreb.-2,70m</t>
  </si>
  <si>
    <t>MSE-Rączka Fiesta 16-Dec.sreb.-2,70m (Ma</t>
  </si>
  <si>
    <t>SEV-Fiesta 18 fog.profil 2,7m oliva</t>
  </si>
  <si>
    <t>SEV-Rączka Fiesta 18-Decor srebrna-2,70m</t>
  </si>
  <si>
    <t>SEV-Tor First j.brąz-1,20m</t>
  </si>
  <si>
    <t>SEV-First felső/alsó vezetés 1,2m ezüst</t>
  </si>
  <si>
    <t>SEV-Tor First srebro-1,20m</t>
  </si>
  <si>
    <t>SEV-Tor First j.brąz-1,80m</t>
  </si>
  <si>
    <t>SEV-Tor First srebro-1,80m</t>
  </si>
  <si>
    <t>SEV-Tor First j.brąz-3,00m</t>
  </si>
  <si>
    <t>SEV-First alsó/felső vezetés 3m ezüst</t>
  </si>
  <si>
    <t>SEV-Tor First srebro-3,00m</t>
  </si>
  <si>
    <t>SEV-Fix finomállító felső görgőhöz átlát</t>
  </si>
  <si>
    <t>SEV-Pozycjoner wózka górnego FIX</t>
  </si>
  <si>
    <t>SEV-Focus 16mm fog.profil 2,7m olíva</t>
  </si>
  <si>
    <t>SEV-Rączka Focus 16 j.brąz-2,70m</t>
  </si>
  <si>
    <t>SEV-Rączka Focus 16 srebrna-2,70m</t>
  </si>
  <si>
    <t>SEV-Focus 18mm úchytová lišta 2,305m stříbrná</t>
  </si>
  <si>
    <t>SEV- Focus 18mm fog.profil 2,305m ezüst</t>
  </si>
  <si>
    <t>SEV- Raczka Focus 18mm srebrna-2,305m</t>
  </si>
  <si>
    <t>SEV-Focus 18mm úchytová lišta 2,305m str</t>
  </si>
  <si>
    <t>SEV-Focus 18mm fog.profil 2,7m oliva</t>
  </si>
  <si>
    <t>SEV-Rączka Focus 18 j.brąz-2,70m</t>
  </si>
  <si>
    <t>SEV-Rączka Focus 18 srebrna-2,70m</t>
  </si>
  <si>
    <t>SEV-Wózek prow.Focus WPFc.-DUO (2szt.) B</t>
  </si>
  <si>
    <t>SEV-Rączka Focus 16 II j.brąz-2,70m</t>
  </si>
  <si>
    <t>SEV-Focus II 16mm fog.profil 2,7m arany</t>
  </si>
  <si>
    <t>SEV-Focus II 16mm rączka 2,7m złoty</t>
  </si>
  <si>
    <t>SEV-Rączka Focus 18 II j. braz-2,70m</t>
  </si>
  <si>
    <t>SEV-Focus II 18mm fog.profil 2,7m ezüst</t>
  </si>
  <si>
    <t>SEV-Rączka Focus 18 II srebrna-2,70m</t>
  </si>
  <si>
    <t>SEV-Focus II 18mm fog.profil 2,7m arany</t>
  </si>
  <si>
    <t>SEV-Focus II 18mm rączka 2,7m złoty</t>
  </si>
  <si>
    <t>SEV-Folia samoprz.Dec.2001317-0,04x14,7m</t>
  </si>
  <si>
    <t>SEV-FOLIE LEP. DECOR 200-1682 14,7M/4CM</t>
  </si>
  <si>
    <t>SEV-Folia samoprz.Dec.2001682-0,06x14,7m</t>
  </si>
  <si>
    <t>SEV-Folia samoprz.Dec.2001700-0,04x14,7m</t>
  </si>
  <si>
    <t>SEV-Folia samoprz.200-1844 0,04x14,7m</t>
  </si>
  <si>
    <t>SEV-FOLIE DECOR 111025 14,7M/4CM</t>
  </si>
  <si>
    <t>SEV-Folia samoprz.Dec.2002227-0,04x14,7m</t>
  </si>
  <si>
    <t>SEV-Folia samoprz.200-2230-0,04x14,7m</t>
  </si>
  <si>
    <t>SEV-Folia samoprz.Dec.2002334-0,06x14,7m</t>
  </si>
  <si>
    <t>SEV-Folia samoprz.200-2234-0,04x14,7m</t>
  </si>
  <si>
    <t>SEV-Folia samoprz.Dec.2002660-0,04x14,7m</t>
  </si>
  <si>
    <t>SEV-Folia samoprz.Dec.2002816-0,04x14,7m</t>
  </si>
  <si>
    <t>SEV-Folia samoprz.Dec.2002875-0,04x14,7m</t>
  </si>
  <si>
    <t>SEV-Folia samoprz.Dec.2002905-0,04x14,7m</t>
  </si>
  <si>
    <t>SEV-FOLIE DECOR 200-2986 14,7M/4CM</t>
  </si>
  <si>
    <t>SEV-fólia 200-3011 14,7m/4cm</t>
  </si>
  <si>
    <t>SEV-Folia samoprz.Dec.2003122-0,04x14,7m</t>
  </si>
  <si>
    <t>SEV-Fox II fog.profil 2,7m RAL9003 fény.</t>
  </si>
  <si>
    <t>SEV-Rączka Fox RAL9003 polysk-2,70m</t>
  </si>
  <si>
    <t>Sev-Fox II fog.prof.2,7m szálcsiszolt fe</t>
  </si>
  <si>
    <t>SEV-Rączka Fox czarna szczotk.-2,70m</t>
  </si>
  <si>
    <t>SEV-Fox II fog.profil 2,7m oliva</t>
  </si>
  <si>
    <t>SEV-Rączka Fox j.brąz-2,70m</t>
  </si>
  <si>
    <t>SEVROLL-FOX II - ÚCH.LIŠTA 2,7m OLIVA</t>
  </si>
  <si>
    <t>SEV-Fox II fog profil 2,7m oliva szálcsi</t>
  </si>
  <si>
    <t>SEV-Rączka Fox j.brąz szczotk.-2,70m</t>
  </si>
  <si>
    <t>SEV-Fox II fog.prof. 2,7m sötét szálcsis</t>
  </si>
  <si>
    <t>SEV-Rączka Fox koniak szczotk.-2,70m</t>
  </si>
  <si>
    <t>SEV-Fox II fog.profil 2,7m ezüst</t>
  </si>
  <si>
    <t>SEV-Rączka Fox srebrna-2,70m</t>
  </si>
  <si>
    <t>SEV-Fox II fog.profil 2,7m arany</t>
  </si>
  <si>
    <t>SEV-Fox II rączka 2,7m złoty</t>
  </si>
  <si>
    <t>SEV-Wózek prow.Future WPFt.-DUO (2szt.)</t>
  </si>
  <si>
    <t>SEV-Rączka Future II j.brąz-2,70m</t>
  </si>
  <si>
    <t>SEV-Rączka Future II j.brąz-3,50m</t>
  </si>
  <si>
    <t>SEV-Rączka Future II srebrna-3,50m</t>
  </si>
  <si>
    <t>SEV-Gemini felső vez. 1,7m fényes fehér</t>
  </si>
  <si>
    <t>SEV-Tor górny Gemini biały POŁ. 1,70m</t>
  </si>
  <si>
    <t>SEV-Gemini felső vezetés 1,7m szálcsiszo</t>
  </si>
  <si>
    <t>SEV-Tor górny Gemini czarny szcz.-1,7m</t>
  </si>
  <si>
    <t>SEV-Gemini felső vezetés  1,7m oliva</t>
  </si>
  <si>
    <t>SEV-Tor górny Gemini-Decor j.brąz-1,70m</t>
  </si>
  <si>
    <t>SEV-felső sín 1,70M szálcs.olív</t>
  </si>
  <si>
    <t>SEV-Tor górny Gemini.j.brąz szcz.1,70m</t>
  </si>
  <si>
    <t>SEVROL- Gemini HORNÉ VEDENIE 1,70M OLIVA</t>
  </si>
  <si>
    <t>SEV-Gemini felső vezetés 1,7m sötét szál</t>
  </si>
  <si>
    <t>SEV-Tor górny Gemini-koniak szcz.-1,7m</t>
  </si>
  <si>
    <t>SEV-Gemini felső vezetés  1,7m ezüst</t>
  </si>
  <si>
    <t>SEV-Tor górny Gemini-Decor srebrny-1,70m</t>
  </si>
  <si>
    <t>SEV-Gemini felső vezetés 1,7m arany</t>
  </si>
  <si>
    <t>SEV-Tor górny Gemini-Decor złoty-1,70m</t>
  </si>
  <si>
    <t>SEV-Gemini felső vezetés 2,35m fehér fén</t>
  </si>
  <si>
    <t>SEV-Tor górny Gemini biały POŁ. 2,35m</t>
  </si>
  <si>
    <t>SEV-Gemini felső vezetés 2,35m szálcsisz</t>
  </si>
  <si>
    <t>SEV-Tor górny Gemini czarny szcz.2,35m</t>
  </si>
  <si>
    <t>SEV-Gemini felső vezetés  2,35m oliva</t>
  </si>
  <si>
    <t>SEV-Tor górny Gemini-Decor j.brąz-2,35m</t>
  </si>
  <si>
    <t>SEV-Gemini felső vezetés 2,35m szálcs.ol</t>
  </si>
  <si>
    <t>SEV-Tor górny Gemini.j.brąz szcz.2,35m</t>
  </si>
  <si>
    <t>SEVROL- Gemini horné vedenie 2,35M OLIVA</t>
  </si>
  <si>
    <t>SEV-Gemini felső vezetés 2,35m sötét szá</t>
  </si>
  <si>
    <t>SEV-Tor górny Gemini koniak szcz.-2,35m</t>
  </si>
  <si>
    <t>SEV-Gemini felső vezetés  2,35m ezüst</t>
  </si>
  <si>
    <t>SEV-Tor górny Gemini-Decor srebrny-2,35m</t>
  </si>
  <si>
    <t>SEV-Gemini felső sín 2,35m arany</t>
  </si>
  <si>
    <t>SEV-Tor górny Gemini-Decor złoty-2,35m</t>
  </si>
  <si>
    <t>SEV-Gemini felső vezetés 3m fényes fehér</t>
  </si>
  <si>
    <t>SEV-Tor górny Gemini biały POŁ. 3,0m</t>
  </si>
  <si>
    <t>SEV-Gemini felső vezetés 3m  szálcsiszol</t>
  </si>
  <si>
    <t>SEV-Tor górny Gemini czarny szczotk.-3m</t>
  </si>
  <si>
    <t>SEV-Gemini felső vezetés 3m oliva</t>
  </si>
  <si>
    <t>SEV-Tor górny Gemini-Decor j.brąz-3,00m</t>
  </si>
  <si>
    <t>SEV-Gemini felső vezetés 3m szálcs.olíva</t>
  </si>
  <si>
    <t>SEV-Tor górny Gemini.j.brąz szcz.3,00m</t>
  </si>
  <si>
    <t>SEVROL- Gemini horné vedenie 3M OLIVA KA</t>
  </si>
  <si>
    <t>SEV-Gemini felső vezetés 3m sötét szálcs</t>
  </si>
  <si>
    <t>SEV-Tor górny Gemini koniak szczotk.-3m</t>
  </si>
  <si>
    <t>SEV-Gemini felső vezetés  3m ezüst</t>
  </si>
  <si>
    <t>SEV-Tor górny Gemini-Decor srebrny-3,00m</t>
  </si>
  <si>
    <t>SEV-Gemini felső vezetés  3m arany</t>
  </si>
  <si>
    <t>SEV-Tor górny Gemini-Decor złoty-3,00m</t>
  </si>
  <si>
    <t>SEV-Gemini felső vez. 4,05m fényes fehér</t>
  </si>
  <si>
    <t>SEV-Tor górny Gemini  4,05m biały poł.</t>
  </si>
  <si>
    <t>SEV-Gemini felső vezetés 4,05m szálcsisz</t>
  </si>
  <si>
    <t>SEV-Tor górny Gemini czarny szcz.4,05m</t>
  </si>
  <si>
    <t>SEV-Gemini felső vezetés  4,05m oliva</t>
  </si>
  <si>
    <t>SEV-Tor górny Gemini-Decor j.brąz-4,05m</t>
  </si>
  <si>
    <t>SEV -Gemini horné vedenie 4,05m oliva</t>
  </si>
  <si>
    <t>SEV-Gemini felső vezetés 4,05m szálcs.ol</t>
  </si>
  <si>
    <t>SEV-Tor górny Gemini.j.brąz szcz.4,05m</t>
  </si>
  <si>
    <t>SEVROL- Gemini horné vedenie 4,05M OLIVA</t>
  </si>
  <si>
    <t>SEV-Gemini felső vezetés 4,05m sötét szá</t>
  </si>
  <si>
    <t>SEV-Tor górny Gemini koniak szcz.4,05</t>
  </si>
  <si>
    <t>SEV-Gemini felső vezetés  4,05m ezüst</t>
  </si>
  <si>
    <t>SEV-Tor górny Gemini-Decor srebrny-4,05m</t>
  </si>
  <si>
    <t>SEV-Gemini felső vezetés  4,05m arany</t>
  </si>
  <si>
    <t>SEV-Tor górny Gemini-Decor złoty-4,05m</t>
  </si>
  <si>
    <t>SEV-Gemini felső vezetés 6m fényes fehér</t>
  </si>
  <si>
    <t>SEV-tor górny 6m RAL9003 połysk</t>
  </si>
  <si>
    <t>SEV-Gemini felső vezetés 6m fekete szálc</t>
  </si>
  <si>
    <t>SEV-Tor górny Gemini- czarny szcz.-6,00m</t>
  </si>
  <si>
    <t>SEV-Gemini felső vezetés 6 m olíva</t>
  </si>
  <si>
    <t>SEV-Tor górny Gemini-Decor j.brąz-6,00m</t>
  </si>
  <si>
    <t>SEV-Gemini felső vezetés 6m szálcs.olív</t>
  </si>
  <si>
    <t>SEV-Tor górny Gemini j.brąz szcz.-6,00m</t>
  </si>
  <si>
    <t>SEV-Gemini felső vezetés 6m oliva sö. sz</t>
  </si>
  <si>
    <t>SEV-Tor górny Gemini- koniak szcz.-6,00m</t>
  </si>
  <si>
    <t>SEV-Gemini felső vezetés 6m ezüst</t>
  </si>
  <si>
    <t>SEV-Tor górny Gemini-Decor srebrny-6,00m</t>
  </si>
  <si>
    <t>SEV-Gemini felső vezetés 6m arany</t>
  </si>
  <si>
    <t>SEV-tor górny 6m złoty</t>
  </si>
  <si>
    <t>SEV-Tor dolny Gemini-Decor j.brąz-1,70m</t>
  </si>
  <si>
    <t>SEV-Tor dolny Gemini-Decor srebrny-1,70m</t>
  </si>
  <si>
    <t>SEVROLL-Gemini spodné vedenie 1,7m strie</t>
  </si>
  <si>
    <t>SEV-Tor dolny Gemini-Decor j.brąz-2,35m</t>
  </si>
  <si>
    <t>SEV-Tor dolny Gemini-Decor srebrny-2,35m</t>
  </si>
  <si>
    <t>SEV-Tor dolny Gemini-Decor j.brąz-3,00m</t>
  </si>
  <si>
    <t>SEV-Tor dolny Gemini-Decor srebrny-3,00m</t>
  </si>
  <si>
    <t>SEVROLL-Gemini spodné vedenie 3m striebo</t>
  </si>
  <si>
    <t>SEV-Tor dolny Gemini-Decor j.brąz-4,05m</t>
  </si>
  <si>
    <t>SEV-Tor dolny Gemini-Decor srebrny-4,05m</t>
  </si>
  <si>
    <t>SEV-Tor dolny Gemini-Decor j.brąz-6,00m</t>
  </si>
  <si>
    <t>SEV-Tor dolny Gemini-Decor srebrny-6,00m</t>
  </si>
  <si>
    <t>SEV-Rączka Gemini-Decor j.brąz-2,70m</t>
  </si>
  <si>
    <t>SEV-Rączka Gemini-Decor srebrna-2,70m.</t>
  </si>
  <si>
    <t>SEV-Gemini-2 rączka 2,7m złoty</t>
  </si>
  <si>
    <t>SEV-List.poz.gór.-Dec.biały POŁ. 1,70m</t>
  </si>
  <si>
    <t>SEV-felső vezető sín 1,7m szálcsiszolt f</t>
  </si>
  <si>
    <t>SEV-Listwa poz.górna-czarna szcz.-1,70m</t>
  </si>
  <si>
    <t>SEV-Listwa poz.górna-Dec.j.brąz-1,70m</t>
  </si>
  <si>
    <t>SEV- felső sín 1,7 m szálcs.olíva</t>
  </si>
  <si>
    <t>SEV-List.poz.górna-Dec.j.brąz szcz.1,70m</t>
  </si>
  <si>
    <t>SEV-felső vezető sín 1,7m sötét szálcsis</t>
  </si>
  <si>
    <t>SEV-Listwa poz.górna-koniak szcz.-1,70m</t>
  </si>
  <si>
    <t>SEV-Listwa poz.górna-Dec.sreb.-1,70m</t>
  </si>
  <si>
    <t>SEV-felső vezető profil 1,7m arany</t>
  </si>
  <si>
    <t>SEV-tor górny 1,7m złoty</t>
  </si>
  <si>
    <t>SEV-felső vezető prof. 2,35m fehér fény.</t>
  </si>
  <si>
    <t>SEV-List.poz.gór.-Dec.biały POŁ. 2,35m</t>
  </si>
  <si>
    <t>SEV-Felső vezető sín szálcsiszolt fekete</t>
  </si>
  <si>
    <t>SEV-List.poz.górna-Dec.czarna szcz.2,35m</t>
  </si>
  <si>
    <t>SEV-Listwa poz.górna-Dec.j.brąz-2,35m</t>
  </si>
  <si>
    <t>SEV- felső sín 2,35 m szálcs.olíva</t>
  </si>
  <si>
    <t>SEV-List.poz.górna-Dec.j.brąz szcz.2,35m</t>
  </si>
  <si>
    <t>SEV-Felső vezető sín sötét oliva szálcsi</t>
  </si>
  <si>
    <t>SEV-List.poz.górna-Dec.koniak szcz.2,35m</t>
  </si>
  <si>
    <t>SEV-Listwa poz.górna-Dec.sreb.-2,35m</t>
  </si>
  <si>
    <t>SEV-VEZETŐ PROFIL FELSŐ 2,35m arany</t>
  </si>
  <si>
    <t>SEV-tor górny 2,35m złoty</t>
  </si>
  <si>
    <t>SEV-felső vezető sín 3m fehér fényes</t>
  </si>
  <si>
    <t>SEV-List.poz.gór.-Dec.biały POŁ. 3,00m</t>
  </si>
  <si>
    <t>SEV-Felső vezető sín 3m szálcsiszolt fek</t>
  </si>
  <si>
    <t>SEV-List.poz.górna-Dec.czarna szcz.3,00m</t>
  </si>
  <si>
    <t>SEV-Listwa poz.górna-Dec.j.brąz-3,00m</t>
  </si>
  <si>
    <t>SEV- felső sín 3 m szálcsiszolt oliva</t>
  </si>
  <si>
    <t>SEV-List.poz.górna-Dec.j.brąz szcz.3,00m</t>
  </si>
  <si>
    <t>SEV-Felső vezető sín 3m sötét szálcsiszo</t>
  </si>
  <si>
    <t>SEV-List.poz.górna-Dec.koniak szcz.3,00m</t>
  </si>
  <si>
    <t>SEV-Listwa poz.górna-Dec.sreb.-3,00m</t>
  </si>
  <si>
    <t>SEV-felső vezető profil,3m, arany</t>
  </si>
  <si>
    <t>SEV-tor górny 3m złoty</t>
  </si>
  <si>
    <t>SEV-felső vez.Simple/Blue 1,5m(18mm)oliv</t>
  </si>
  <si>
    <t>SEV-Listwa poz.górna-Simp18  j.brąz-1,5m</t>
  </si>
  <si>
    <t>SEV-fel.vez.prof.Simple/Blue 1,5m(18mm)</t>
  </si>
  <si>
    <t>SEV-List.poz.gór.-Simple Frame sreb.1,5m</t>
  </si>
  <si>
    <t>SEV-felső vez.Simple/Blue 2,5m(18mm)oliv</t>
  </si>
  <si>
    <t>SEV-Listwa poz.górna-Simp18 j.brąz-2,5m</t>
  </si>
  <si>
    <t>SEV-fel.vez.prof.Simple/Blue 2,5m(18mm)e</t>
  </si>
  <si>
    <t>SEV-Listwa poz.górna-Simp18 sreb.-2,50m</t>
  </si>
  <si>
    <t>SEV-felső vez.Simple/Blue 2m(18mm)oliva</t>
  </si>
  <si>
    <t>SEV-Listwa poz.górna-Simp18 j.brąz-2,00m</t>
  </si>
  <si>
    <t>SEV-fel.vez.prof.Simple/Blue 2m(18mm) ez</t>
  </si>
  <si>
    <t>SEV-List.poz.gór.-Simple Frame sreb.-2m</t>
  </si>
  <si>
    <t>SEV-felső vezető sín Simple/Blue 3m(18mm</t>
  </si>
  <si>
    <t>SEV-Listwa poz.górna-Simp18 j.brąz-3,00m</t>
  </si>
  <si>
    <t>SEV-felső vez.sín Simple/Blue 3m (18mm)</t>
  </si>
  <si>
    <t>SEV-List.poz.gór.-Simple Frame sreb.-3m</t>
  </si>
  <si>
    <t>SEV-felső görgő 10mm asszimetrikus(J+B)</t>
  </si>
  <si>
    <t>SEV-Wózek prow.10-ka WP10-DUO (zest.2szt</t>
  </si>
  <si>
    <t>SEV-felső görgők Blue 10mm asszimetrikus</t>
  </si>
  <si>
    <t>SEV-felső görgők Blue 10mm szimetrikus (</t>
  </si>
  <si>
    <t>SEV-felső görgő Blue(18mm)keret nélküli</t>
  </si>
  <si>
    <t>SEV-felső görgő Blue(18mm)keretes (J+B)</t>
  </si>
  <si>
    <t>SEV-Wózek prow.Gemini WPGm.-DUO (zesta</t>
  </si>
  <si>
    <t>SEV-Simple felső görgő (10mm Fala)aszimm</t>
  </si>
  <si>
    <t>SEV-Wózek prow.Simple 10 WPSm-niesym.L+P</t>
  </si>
  <si>
    <t>SEV-Simple felső görgő (10mm Polo)szimme</t>
  </si>
  <si>
    <t>SEV-Wózek prow.Simple 10 WPSm symetr.L+P</t>
  </si>
  <si>
    <t>SEV-Simple felső görgő (18mm) keret nélk</t>
  </si>
  <si>
    <t>SEV-Wózek prowadzący Simple 18 Board-L+P</t>
  </si>
  <si>
    <t>SEV-Simple felső görgő (18mm)keretes (J+</t>
  </si>
  <si>
    <t>SEV-Wózek prow.Simple 18 Frame- L+P</t>
  </si>
  <si>
    <t>SEV-felső görgő Simple(18mm)szimETRIKUS(</t>
  </si>
  <si>
    <t>SEV-Wózek prow.Simple 18 Board symetrycz</t>
  </si>
  <si>
    <t>SEV-Wózek prowadzący Focus WPFc.-DUO ( G</t>
  </si>
  <si>
    <t>SEV-Idea felső/alsó vezetés 2m ezüst</t>
  </si>
  <si>
    <t>SEV-Tor Idea srebrny-2,00m</t>
  </si>
  <si>
    <t>SEV-Idea felső/alsó vezetés 3m ezüst</t>
  </si>
  <si>
    <t>SEV-Tor Idea srebrny-3,00m</t>
  </si>
  <si>
    <t>SEV-Idea felső/alsó vezetés 6m ezüst</t>
  </si>
  <si>
    <t>SEV-Idea górny/dolny tor 6m srebrny</t>
  </si>
  <si>
    <t>SEV-Zestaw Idea na 2 skrzydła (wew+zew.)</t>
  </si>
  <si>
    <t>SEV-Idea vasalat szett belső ajtóra</t>
  </si>
  <si>
    <t>SEV-Zestaw Idea na 1 skrzydło (wewnętrzn</t>
  </si>
  <si>
    <t>SEV-Julia II fog.profil 2,7 m olíva</t>
  </si>
  <si>
    <t>SEV-Rączka Julia II j.brąz-2,70m</t>
  </si>
  <si>
    <t>SEV-Julia II fog.profil 2,7 m ezüst</t>
  </si>
  <si>
    <t>SEV-Rączka Julia II srebrna-2,70m</t>
  </si>
  <si>
    <t>SEV-Julia II rączka 2,7m złoty</t>
  </si>
  <si>
    <t>SEV-Karat rączka 2,7m j.brąz</t>
  </si>
  <si>
    <t>SEV-Karat fog,profil 2,7m ezüst</t>
  </si>
  <si>
    <t>SEV-Rączka Karat srebrna-2,70m</t>
  </si>
  <si>
    <t>SEV-végzáró Hide N profilhoz ezüst</t>
  </si>
  <si>
    <t>SEV-Zaślepka do toru Hide N-sreb.(2szt.)</t>
  </si>
  <si>
    <t>SEV-Libra fogantyú profil 18mm 2,5m oliv</t>
  </si>
  <si>
    <t>SEV-Rączka Libra j.brąz-2,50m</t>
  </si>
  <si>
    <t>SEV-Libra fog.prof. 18mm  2,5m ezüst</t>
  </si>
  <si>
    <t>SEV-Rączka Libra srebrna-2,50m</t>
  </si>
  <si>
    <t>SEV-Libra fog,profil 18mm 2,70m oliva</t>
  </si>
  <si>
    <t>SEV-Rączka Libra j.brąz-2,70m</t>
  </si>
  <si>
    <t>SEV-Libra fog.profil 18mm 2,70m ezüst</t>
  </si>
  <si>
    <t>SEV-Rączka Libra srebna-2,70m</t>
  </si>
  <si>
    <t>SEV-Prowadnica górna Line-2,00m</t>
  </si>
  <si>
    <t>SEV-Zestaw do drzwi składanych Line-Lewy</t>
  </si>
  <si>
    <t>SEV-Zestaw drzwi składanych Line-Prawy</t>
  </si>
  <si>
    <t>SEV-Prowadnica dolna Line-2,00m</t>
  </si>
  <si>
    <t>SEV-tak.prof.2,35m - áttéve a 89177</t>
  </si>
  <si>
    <t>SEV-Zaślepka toru Prestige sreb.-2,35m</t>
  </si>
  <si>
    <t>SEV-tak.prof.3m - áttéve a 89180</t>
  </si>
  <si>
    <t>SEV-Zaślepka do toru Prestige srebrna-3m</t>
  </si>
  <si>
    <t>SEV-tak.prof.4,05m - áttéve a 89092</t>
  </si>
  <si>
    <t>SEV-Zaślepka toru Prestige sreb.-4,05m</t>
  </si>
  <si>
    <t>SEV-Zaślepka toru Cleft II j.brąz-1,70m</t>
  </si>
  <si>
    <t>SEV-Zaślepka toru Cleft II sreb.-1,70m</t>
  </si>
  <si>
    <t>SEV-Cleft takaró profil 1,7 m arany</t>
  </si>
  <si>
    <t>SEV-Zaślepka do toru Cleft złota-1,70m</t>
  </si>
  <si>
    <t>SEV-Zaślepka toru Cleft II j.brąz-2,35m</t>
  </si>
  <si>
    <t>SEV-Cleft takaró profil 2,35m ezüst</t>
  </si>
  <si>
    <t>SEV-Zaślepka toru Cleft II sreb.-2,35m</t>
  </si>
  <si>
    <t>SEV-Cleft takaró profil 2,35 m arany</t>
  </si>
  <si>
    <t>SEV-Zaślepka do toru Cleft złota-2,35m</t>
  </si>
  <si>
    <t>SEV-Zaślepka do toru Cleft j.brąz-3,00m</t>
  </si>
  <si>
    <t>SEV-Cleft takaró profil 3m ezüst</t>
  </si>
  <si>
    <t>SEV-Zaślepka toru Cleft II sreb.-3,00m</t>
  </si>
  <si>
    <t>SEV-Cleft takaró profil 3m arany</t>
  </si>
  <si>
    <t>SEV-Zaślepka do toru Cleft złota-3,00m</t>
  </si>
  <si>
    <t>SEV-Zaślepka toru Cleft II j.brąz-4,05m</t>
  </si>
  <si>
    <t>SEV-Cleft takaró profil 4,05m ezüst</t>
  </si>
  <si>
    <t>SEV-Zaślepka toru Cleft II sreb.-4,05m</t>
  </si>
  <si>
    <t>SEV-Cleft takaró profil 4,05 m arany</t>
  </si>
  <si>
    <t>SEV-Zaślepka do toru Cleft złota-4,05m</t>
  </si>
  <si>
    <t>SEV-Zaślepka toru Cleft II sreb.-6,00m</t>
  </si>
  <si>
    <t>SEV-takaró  Elegant II 1,7m fényes fehér</t>
  </si>
  <si>
    <t>SEV-zaślepka Elegant II 1,7m biały poł.</t>
  </si>
  <si>
    <t>SEV-tak.pro.Elegant II 1,7m fek.szálcs.</t>
  </si>
  <si>
    <t>SEV-takaró Elegant II 1,7m oliva</t>
  </si>
  <si>
    <t>SEV-tak.pro.Elegant II 1,7m szálcs.olív</t>
  </si>
  <si>
    <t>SEV-tak.pro.Elegant II 1,7m szálcs.ol.sö</t>
  </si>
  <si>
    <t>SEV-zaślepka Elegant II 1,7m srebrny</t>
  </si>
  <si>
    <t>SEV-takaró Elegant II 1,7m arany</t>
  </si>
  <si>
    <t>SEV-zaślepka Elegant II 1,7m złoty</t>
  </si>
  <si>
    <t>SEV-takaró  Elegant II 2,35m fényes fehé</t>
  </si>
  <si>
    <t>SEV-zaślepka Elegant II 2,35m biały poły</t>
  </si>
  <si>
    <t>SEV-tak.pro.Elegant II 2,35m fek.szálcs.</t>
  </si>
  <si>
    <t>SEV-takaró  Elegant II 2,35m oliva</t>
  </si>
  <si>
    <t>SEV-tak.pro.Elegant II 2,35m szálcs.olív</t>
  </si>
  <si>
    <t>SEV-tak.pro.Elegant II 2,35mszálcs.ol.sö</t>
  </si>
  <si>
    <t>SEV-zaślepka Elegant II 2,35m srebrny</t>
  </si>
  <si>
    <t>SEV-takaró Elegant II 2,35m arany</t>
  </si>
  <si>
    <t>SEV-zaślepka Elegant II 2,35m złoty</t>
  </si>
  <si>
    <t>SEV-tak.pro.Elegant II 3m fehér fényes</t>
  </si>
  <si>
    <t>SEV-tak.pro.Elegant II 3m fekete szálcsi</t>
  </si>
  <si>
    <t>SEV-tak.pro.Elegant II 3m olív</t>
  </si>
  <si>
    <t>SEV-tak.pro.Elegant II 3m szálcs.olív</t>
  </si>
  <si>
    <t>SEV-tak.pro.Elegant II 3m szálcs.ol,sö</t>
  </si>
  <si>
    <t>SEV-takaró Elegant II 3m arany</t>
  </si>
  <si>
    <t>SEV-zaślepka Elegant II 3m złoty</t>
  </si>
  <si>
    <t>SEV-tak.pro.Elegant II 4,05m fehér fénye</t>
  </si>
  <si>
    <t>SEV-tak.pro.Elegant II 4,05m fekete szál</t>
  </si>
  <si>
    <t>SEV-tak.pro.Elegant II 4,05m olív</t>
  </si>
  <si>
    <t>SEV-tak.pro.Elegant II 4,05m szálcsiszol</t>
  </si>
  <si>
    <t>SEV-takaró Elegant II 4,05m arany</t>
  </si>
  <si>
    <t>SEV-zaślepka Elegant II 4,05m złoty</t>
  </si>
  <si>
    <t>SEV-tak.pro.Elegant II 6m fehér fényes</t>
  </si>
  <si>
    <t>SEV-tak.pro.Elegant II 6m fekete szálcsi</t>
  </si>
  <si>
    <t>SEV-tak.pro.Elegant II 6m olív</t>
  </si>
  <si>
    <t>SEV-tak.pro.Elegant II 6m szálcsiszolt o</t>
  </si>
  <si>
    <t>SEV-tak.pro.Elegant II 6m szálcsiszolt s</t>
  </si>
  <si>
    <t>SEV-tak.pro.Elegant II 6m ezüst</t>
  </si>
  <si>
    <t>SEV-takaró Elegant II 6m arany</t>
  </si>
  <si>
    <t>SEV-zaślepka Elegant II 6m złoty</t>
  </si>
  <si>
    <t>SEV-Zaślepka do toru Prestige srebrna-6m</t>
  </si>
  <si>
    <t>SEV-Wózek prow.Master WPMs-zestaw 2szt</t>
  </si>
  <si>
    <t>SEV-Master fog.profil  2,7m oliva</t>
  </si>
  <si>
    <t>SEV-Rączka Master j.brąz-2,70m</t>
  </si>
  <si>
    <t>SEV-Master fog.profil  2,7m ezüst</t>
  </si>
  <si>
    <t>SEV-Rączka Master srebro-2,70m</t>
  </si>
  <si>
    <t>SEV-Master fog.profil  3m oliva</t>
  </si>
  <si>
    <t>SEV-Rączka Master j.brąz-3,00m</t>
  </si>
  <si>
    <t>SEV-Master fog.profil  3m ezüst</t>
  </si>
  <si>
    <t>SEV-Rączka Master srebro-3,00m</t>
  </si>
  <si>
    <t>SEV-Wózek prow.Maxim WPMx-zestaw 2szt</t>
  </si>
  <si>
    <t>SEV-Maxim felső görgő18mm aszimmetrikus-</t>
  </si>
  <si>
    <t>SEV-Wózek prow.Maxim niesym WPMx.NS-2szt</t>
  </si>
  <si>
    <t>SEV-Wózek prow.Maxim WPMx.-DUO-2szt</t>
  </si>
  <si>
    <t>SEV-Maxim felső vezetés 1,8m ezüst</t>
  </si>
  <si>
    <t>SEV-Tor górny Maxim srebrny-1,80m</t>
  </si>
  <si>
    <t>SEV-Maxim felső sín 2,5m oliva</t>
  </si>
  <si>
    <t>SEV-Tor górny Maxim j.brąz-2,50m</t>
  </si>
  <si>
    <t>SEV-Maxim felső vezetés 2,5m ezüst</t>
  </si>
  <si>
    <t>SEV-Tor górny Maxim srebrny-2,50m</t>
  </si>
  <si>
    <t>SEV-Maxim felső sín 3,5m oliva</t>
  </si>
  <si>
    <t>SEV-Tor górny Maxim j.brąz-3,50m</t>
  </si>
  <si>
    <t>SEV-Maxim felső vezetés 3,5m ezüst</t>
  </si>
  <si>
    <t>SEV-Tor górny Maxim srebrny-3,50m</t>
  </si>
  <si>
    <t>SEV-Tor górny Maxim j.brąz-4,30m</t>
  </si>
  <si>
    <t>SEV-Maxim felső vezetés 4,3m ezüst</t>
  </si>
  <si>
    <t>SEV-Tor górny Maxim srebrny-4,30m</t>
  </si>
  <si>
    <t>SEV- Maxim felső vezetés 6m ezüst</t>
  </si>
  <si>
    <t>SEV-Tor górny Maxim srebrny-6,00m</t>
  </si>
  <si>
    <t>SEV-Zaślepka toru Maxim II sreb.-1,80m</t>
  </si>
  <si>
    <t>SEV-Maxim II tak.prof.2,5m oliva</t>
  </si>
  <si>
    <t>SEV-Zaślepka toru Maxim II j.brąz-2,50m</t>
  </si>
  <si>
    <t>SEV-Zaślepka do toru Maxim II sreb.-2,5m</t>
  </si>
  <si>
    <t>SEV-Maxim II tak.prof.3,5m oliva</t>
  </si>
  <si>
    <t>SEV-Zaślepka toru Maxim II j.brąz-3,50m</t>
  </si>
  <si>
    <t>SEV-Zaślepka do toru Maxim II sreb.-3,5m</t>
  </si>
  <si>
    <t>SEV-Zaślepka toru Maxim II j.brąz-4,30m</t>
  </si>
  <si>
    <t>SEV-Zaślepka toru Maxim II sreb.-4,30m</t>
  </si>
  <si>
    <t>SEV-Zaślepka do toru Maxim II srebrna-6m</t>
  </si>
  <si>
    <t>SEV-Maxim II alsó vezetés 1,8m ezüst</t>
  </si>
  <si>
    <t>SEV-Tor dolny Maxim II srebrny-1,80m</t>
  </si>
  <si>
    <t>SEV-Maxim II alsó sín 2,5m oliva</t>
  </si>
  <si>
    <t>SEV-Tor dolny Maxim II j.brąz-2,50m</t>
  </si>
  <si>
    <t>SEV-Tor dolny Maxim II srebrny-2,50m</t>
  </si>
  <si>
    <t>SEV-Maxim II alsó sín 3,5m oliva</t>
  </si>
  <si>
    <t>SEV-Tor dolny Maxim II j.brąz-3,50m</t>
  </si>
  <si>
    <t>SEV- Maxim II alsó vezetés 3,5m ezüst</t>
  </si>
  <si>
    <t>SEV-Tor dolny Maxim II srebrny-3,50m</t>
  </si>
  <si>
    <t>SEV-Tor dolny Maxim II j.brąz-4,30m</t>
  </si>
  <si>
    <t>SEV-Maxim IIalsó vezetés 4,3m ezüst</t>
  </si>
  <si>
    <t>SEV-Tor dolny Maxim II srebrny-4,30m</t>
  </si>
  <si>
    <t>SEV-Maxim II alsó vezetés 6m ezüst</t>
  </si>
  <si>
    <t>SEV-Tor dolny Maxim II srebrny-6m</t>
  </si>
  <si>
    <t>SEV-Maxim vasalat szett 2 ajtószárnyra 1</t>
  </si>
  <si>
    <t>SEV-EASY BUY MAXIM M18-2 -1,8m (kpl.akce</t>
  </si>
  <si>
    <t>SEV-szett Maxim 3 ajtó szárnyra 2,5m ezü</t>
  </si>
  <si>
    <t>SEV-EASY BUY MAXIM M25-2 -2,5m (kpl.akce</t>
  </si>
  <si>
    <t>SEV-Maxim profil szett 2 ajtóra 1,8m ezü</t>
  </si>
  <si>
    <t>SEV-EASY BUY MAXIM M18-1 III sreb.-1,8m(</t>
  </si>
  <si>
    <t>SEV- Maxim profil szett 3 ajtószárnyra 2</t>
  </si>
  <si>
    <t>SEV-EASY BUY MAXIM M25-1 III sreb.-2,5m</t>
  </si>
  <si>
    <t>SEV-Listwa poz.dolna-Maxim II sreb.-1,8m</t>
  </si>
  <si>
    <t>SEV-Maxim al.tak.prof.2,5m oliva</t>
  </si>
  <si>
    <t>SEV-Listwa poz.dol.Maxim II j.brąz-2,5m</t>
  </si>
  <si>
    <t>SEV-List.poz.dolna-Maxim II sreb.-2,50m</t>
  </si>
  <si>
    <t>SEV-Maxim al.tak.prof.3,5m oliva</t>
  </si>
  <si>
    <t>SEV-Listwa poz.dol.Maxim II j.brąz-3,50m</t>
  </si>
  <si>
    <t>SEV-List.poz.dolna-Maxim II sreb.-3,50m</t>
  </si>
  <si>
    <t>SEV-Listwa poz.dol.Maxim II j.brąz-4,30m</t>
  </si>
  <si>
    <t>SEV-List.poz.dolna-Maxim II sreb.-4,30m</t>
  </si>
  <si>
    <t>SEV-Listwa poz.dolna-Maxim II sreb.-6m</t>
  </si>
  <si>
    <t>SEV-Łącznik H18-Maxim j.brąz-1,80m</t>
  </si>
  <si>
    <t>SEV-Összekötő profil H18 1,8m ezüst</t>
  </si>
  <si>
    <t>SEV-Łącznik H18-Maxim srebrny-1,80m</t>
  </si>
  <si>
    <t>SEV-Łącznik H18-Maxim j.brąz-2,50m</t>
  </si>
  <si>
    <t>SEV-Összekötő profil H18  2,5m ezüst</t>
  </si>
  <si>
    <t>SEV-Łącznik H18-Maxim srebrny-2,50m</t>
  </si>
  <si>
    <t>SEVROLL-SPOJ.LIŠTA H18 2,5M str.</t>
  </si>
  <si>
    <t>SEV-Łącznik H25-Maxim j.brąz-1,80m</t>
  </si>
  <si>
    <t>SEV-Łącznik H25-Maxim srebrny-1,80m</t>
  </si>
  <si>
    <t>SEV-Łącznik H25-Maxim j.brąz-2,50m</t>
  </si>
  <si>
    <t>SEV-Összekötő profil H25 2,5m ezüst</t>
  </si>
  <si>
    <t>SEV-Łącznik H25-Maxim srebrny-2,50m</t>
  </si>
  <si>
    <t>SEV-Maxim vezető profil 1,8m ezüst</t>
  </si>
  <si>
    <t>SEV-Listwa poz.górna-Maxim srebro-1,80m</t>
  </si>
  <si>
    <t>SEV-Maxim vez.prof.2,5m oliva</t>
  </si>
  <si>
    <t>SEV-Listwa poz.górna-Maxim j.brąz-2,50m</t>
  </si>
  <si>
    <t>SEV-Maxim vezető profil 2,5 m ezüst</t>
  </si>
  <si>
    <t>SEV-Listwa poz.górna-Maxim srebro-2,50m</t>
  </si>
  <si>
    <t>SEV-Maxim vez.prof.3,5m oliva</t>
  </si>
  <si>
    <t>SEV-Listwa poz.górna-Maxim j.brąz-3,50m</t>
  </si>
  <si>
    <t>SEV-Maxim vezető profil 3,5m ezüst</t>
  </si>
  <si>
    <t>SEV-Listwa poz.górna-Maxim srebro-3,50m</t>
  </si>
  <si>
    <t>SEV-Listwa poz.górna Maxim j.brąz-4,30m.</t>
  </si>
  <si>
    <t>SEV-Maxim vezető profil 4,3m ezüst</t>
  </si>
  <si>
    <t>SEV-Listwa poz.górna-Maxim srebro-4,30m</t>
  </si>
  <si>
    <t>SEV-Maxim II vezető profil 6m ezüst</t>
  </si>
  <si>
    <t>SEV-Listwa poz.górna-Maxim srebro-6,00m</t>
  </si>
  <si>
    <t>SEV-Micra fék (2db a csomagban)</t>
  </si>
  <si>
    <t>SEV- Micra alsó/felső vezetés 1,7m oliva</t>
  </si>
  <si>
    <t>SEV-Tor Micra j.brąz-1,70m</t>
  </si>
  <si>
    <t>SEV-Micra felső/alsó sín 1,7m ezüst elox</t>
  </si>
  <si>
    <t>SEV-Tor Micra srebrny-1,70m</t>
  </si>
  <si>
    <t>SEV-Tor Micra surowy-1,70m</t>
  </si>
  <si>
    <t>SEV- Micra alsó/felső vezetés 2,35m oliv</t>
  </si>
  <si>
    <t>SEV-Tor Micra j.brąz-2,35m</t>
  </si>
  <si>
    <t>SEV-Micra felső/alsó sín 2,35m ezüst elo</t>
  </si>
  <si>
    <t>SEV-Tor Micra srebrny-2,35m</t>
  </si>
  <si>
    <t>SEV-Tor Micra surowy-2,35m</t>
  </si>
  <si>
    <t>SEV-Micra felső/alsó sín 3m ezüst elox</t>
  </si>
  <si>
    <t>SEV-Tor Micra srebrny-3,00m</t>
  </si>
  <si>
    <t>SEV-Tor Micra surowy-3,00m</t>
  </si>
  <si>
    <t>SEV-ZESTAW E (WGM 2szt.+ WDM 2szt.) Blis</t>
  </si>
  <si>
    <t>SEV-Minicomfort II fog.profil 2,7m oliva</t>
  </si>
  <si>
    <t>SEV-Rączka Minicomfort II j.brąz-2,70m</t>
  </si>
  <si>
    <t>SEV-Minicomfort II fog.profil 2,7m ezüst</t>
  </si>
  <si>
    <t>SEV-Rączka Minicomfort II srebrna-2,70m</t>
  </si>
  <si>
    <t>SEV-Oaza II rączka 2,7m jasny brąz</t>
  </si>
  <si>
    <t>SEV-Rączka Oaza II srebrna-2,70m</t>
  </si>
  <si>
    <t>SEV-Taśma dwustronna-10m 39200-00-10-50</t>
  </si>
  <si>
    <t>SEV-Szpros S10 j.brąz-3,00m</t>
  </si>
  <si>
    <t>SEV-Szpros S10 srebrny-3,00m</t>
  </si>
  <si>
    <t>SEV-dísz léc S18 ragasztóval 3m oliva</t>
  </si>
  <si>
    <t>SEV-Szpros S18 j.brąz-3,00m  z klejem</t>
  </si>
  <si>
    <t>SEV-dísz léc S18 ragasztóval 3m ezüst</t>
  </si>
  <si>
    <t>SEV-Szpros S18 srebrny-3,00m  z klejem</t>
  </si>
  <si>
    <t>SEV-Szpros S20 j.brąz-3,00m</t>
  </si>
  <si>
    <t>SEV-Szpros S20 srebrny-3,00m</t>
  </si>
  <si>
    <t>SEV-Rączka Optima 16 srebrna-2,40m</t>
  </si>
  <si>
    <t>SEV-Optima 18 fogantyú profil 2,4m ezüst</t>
  </si>
  <si>
    <t>SEV-Rączka Optima 18 srebrna-2,40m</t>
  </si>
  <si>
    <t>SEV-Tor górny Optima srebrny-2,40m</t>
  </si>
  <si>
    <t>SEV-Tor górny Optima srebrny-2,00m</t>
  </si>
  <si>
    <t>SEV-Tor górny Optima srebrny-6,00m</t>
  </si>
  <si>
    <t>SEV-Optima II vasalat szett (két ajtó)</t>
  </si>
  <si>
    <t>SEV-Optima II kpl. okuć (podwójne drzwi)</t>
  </si>
  <si>
    <t>SEVROLL-SADA KOV.OPTIMA II (DVOJE DVERE)</t>
  </si>
  <si>
    <t>SEV-Samodomykacz OPTIMA (2szt.P+L)</t>
  </si>
  <si>
    <t>SEV-Tor dolny Optima surowy-2,40m</t>
  </si>
  <si>
    <t>SEV-Tor dolny Optima surowy-2,00m</t>
  </si>
  <si>
    <t>SEV-Tor dolny Optima-6,00m</t>
  </si>
  <si>
    <t>SEV-PAX távtartó profil 04 3m ezüst</t>
  </si>
  <si>
    <t>SEV-Pax fel.vez.prof.3m fehér fényes</t>
  </si>
  <si>
    <t>SEV-Pax tor górny 3m biały połysk</t>
  </si>
  <si>
    <t>SEV-Listwa pozioma górna-Pax sreb.-3,00m</t>
  </si>
  <si>
    <t>SEV-Pax ragaszth.fog. Fehér</t>
  </si>
  <si>
    <t>SEV-Pax uchwyt przyklejany biały POŁ.</t>
  </si>
  <si>
    <t>SEV-Pax ragasztható fogantyú ezüst</t>
  </si>
  <si>
    <t>SEV-Pax uchwyt przyklejany srebrny</t>
  </si>
  <si>
    <t>SEV-Pax ragasztható fogantyú átlátszó</t>
  </si>
  <si>
    <t>SEV-Pax al.tak.prof.3m fehér fényes</t>
  </si>
  <si>
    <t>SEV-Pax tor dolny 3m biały połysk</t>
  </si>
  <si>
    <t>SEV-Listwa pozioma dolna-Pax sreb.-3,00m</t>
  </si>
  <si>
    <t>SEV-Pax fog.prof.2,7m fehér fényes</t>
  </si>
  <si>
    <t>SEV-Pax rączka  2,7m biały połysk</t>
  </si>
  <si>
    <t>SEV-Pax fog.profil 2,7m ezüst</t>
  </si>
  <si>
    <t>SEV-Rączka Pax srebrna-2,70m</t>
  </si>
  <si>
    <t>SEV-Rączka Pax srebrna-3,00m</t>
  </si>
  <si>
    <t>SEV-Pax fog.prof.3m fehér fényes</t>
  </si>
  <si>
    <t>SEV-Pax rączka  3m biały połysk</t>
  </si>
  <si>
    <t>SEV-Listwa montażowa-Pax srebrna-3,00m</t>
  </si>
  <si>
    <t>SEV-Zaślepka do rączki Pax sreb.(4szt.)</t>
  </si>
  <si>
    <t>SEV-Pax profil végzáró (4 db) fény.feh.</t>
  </si>
  <si>
    <t>SEV-Zaślepka do rąc.Pax RAL biały (4szt.</t>
  </si>
  <si>
    <t>SEV-Polo fog.prof. 10mm  2,5m oliva</t>
  </si>
  <si>
    <t>SEV-Rączka Polo j.brąz-2,50m.</t>
  </si>
  <si>
    <t>SEV-Polo fog.prof. 10mm  2,5m ezüst</t>
  </si>
  <si>
    <t>SEV-Rączka Polo srebrna-2,50m.</t>
  </si>
  <si>
    <t>SEV-Rączka Polo j.brąz-2,70m.</t>
  </si>
  <si>
    <t>SEV-Polo fog.profil 10mm 2,70m ezüst</t>
  </si>
  <si>
    <t>SEV-Rączka Polo srebna-2,70m</t>
  </si>
  <si>
    <t>SEV-Porto fog.prof. 2,7m oliva</t>
  </si>
  <si>
    <t>SEV-Rączka Porto j.brąz-2,70m</t>
  </si>
  <si>
    <t>SEV-Porto fog.profil 2,7m ezüst</t>
  </si>
  <si>
    <t>SEV-Rączka Porto srebrna-2,70m</t>
  </si>
  <si>
    <t>SEV - pozicionér HI-TEC</t>
  </si>
  <si>
    <t>SEV-finomállító Simple Start</t>
  </si>
  <si>
    <t>SEV-Stoper SIMPLE START</t>
  </si>
  <si>
    <t>SEV- Prince 01 fog.profil 2,7m ezüst</t>
  </si>
  <si>
    <t>SEV-Rączka Prince 01 srebro-2,70m</t>
  </si>
  <si>
    <t>SEV-Prince 02 fogantyú profil 2,7m ezüst</t>
  </si>
  <si>
    <t>SEV-Rączka Prince 02 srebro-2,70m</t>
  </si>
  <si>
    <t>SEV-Prince vasalat szett harm.ajtó 1200m</t>
  </si>
  <si>
    <t>SEV-ONE PACK PRINCE 1200mm-srebrny</t>
  </si>
  <si>
    <t>SEV-Ceownik 16 srebrny-3,00m</t>
  </si>
  <si>
    <t>SEV-profil "U" 18mm 3m szálcsiszolt feke</t>
  </si>
  <si>
    <t>SEV-Ceownik 18 czarny szczotk.-3,00m</t>
  </si>
  <si>
    <t>SEV-Ceownik 18 j.brąz szczotk.-3,00m.</t>
  </si>
  <si>
    <t>SEV-profil "U" 18mm 3m ötét szálcsiszolt</t>
  </si>
  <si>
    <t>SEV-Ceownik 18 koniak szczotk.-3,00m</t>
  </si>
  <si>
    <t>SEV-Ceownik 18-Decor j.brąz-3,00m</t>
  </si>
  <si>
    <t>SEV-Ceownik 18-Decor srebrny-3,00m</t>
  </si>
  <si>
    <t>SEV-Ceownik 16-Decor srebrny-3,00m</t>
  </si>
  <si>
    <t>SEV-profil "U" Mini 18 mm-es FFL-ra oliv</t>
  </si>
  <si>
    <t>SEV-Ceownik Mini 18 j.brąz-3,00m</t>
  </si>
  <si>
    <t>SEV-profil "U" mini na FFL 18mm ezüst 3m</t>
  </si>
  <si>
    <t>SEV-Ceownik Mini 18 srebrny-3,00m</t>
  </si>
  <si>
    <t>SEV-profil "U"FFL-hez 36mm oliva 3m</t>
  </si>
  <si>
    <t>SEV-Ceownik 36-Decor j.brąz-3,00m</t>
  </si>
  <si>
    <t>SEV-U prof.FFL-ra 36mm ezüst 3 m</t>
  </si>
  <si>
    <t>SEV-Ceownik 36-Decor srebrny-3,00m</t>
  </si>
  <si>
    <t>SEV-Listwa pozioma-Ekonomik sreb.-2,00m</t>
  </si>
  <si>
    <t>SEV-Listwa pozioma-Ekonomik sreb.-3,00m</t>
  </si>
  <si>
    <t>SEV-Ceownik 16 j.brąz-3,00m.</t>
  </si>
  <si>
    <t>SEV-Ceownik 18 j.brąz-3,00m.</t>
  </si>
  <si>
    <t>SEV-Ceownik 18 srebrny-3,00m.</t>
  </si>
  <si>
    <t>SEVROLL-U-PROFIL LFF 18mm-3M,ARANY</t>
  </si>
  <si>
    <t>SEV-profil "U" Decor 18mm 3m złoty</t>
  </si>
  <si>
    <t>SEV-Rączka Prosper II j.brąz-2,70m</t>
  </si>
  <si>
    <t>SEV-Prosper II fog.profil 2,7m ezüst</t>
  </si>
  <si>
    <t>SEV-Rączka Prosper II srebrna-2,70m</t>
  </si>
  <si>
    <t>SEV-becsúsztatható pof.kefe 4,8X13 mm</t>
  </si>
  <si>
    <t>SEV-Szczotka p.kurz.b.kleju szara 4,8x13</t>
  </si>
  <si>
    <t>SEV-Rekord fog.prof.18mm 2,70m olíva</t>
  </si>
  <si>
    <t>SEV-Rekord fog.prof.18mm 2,70m ezüst</t>
  </si>
  <si>
    <t>SEV-Rex fogantyú profil 2,7m oliva</t>
  </si>
  <si>
    <t>SEV-Rączka Rex j.brąz-2,70m</t>
  </si>
  <si>
    <t>SEV-Rączka Rex srebrna-2,70m</t>
  </si>
  <si>
    <t>SEV- Romeo II fog.profil 2,7 m olíva</t>
  </si>
  <si>
    <t>SEV-Rączka Romeo II j.brąz-2,70m</t>
  </si>
  <si>
    <t>SEV- Romeo II fog.profil 2,7m ezüst</t>
  </si>
  <si>
    <t>SEV-Rączka Romeo II srebrna-2,70m</t>
  </si>
  <si>
    <t>SEV-Romeo II fog.profil  2,7m arany</t>
  </si>
  <si>
    <t>SEV-Romeo II rączka 2,7m złoty</t>
  </si>
  <si>
    <t>SEV-Secret Line II keret léc 2,7m ezüst</t>
  </si>
  <si>
    <t>SEV-Profil ramk.L24 Secr.L II sreb.-2,7m</t>
  </si>
  <si>
    <t>SEV-Simple felső vezetés 1,5m oliva</t>
  </si>
  <si>
    <t>SEV-Tor górny Simple j.brąz-1,50m</t>
  </si>
  <si>
    <t>SEV- Simple felső vezetés 1,5m ezüst</t>
  </si>
  <si>
    <t>SEV-Tor górny Simple srebrny-1,50m</t>
  </si>
  <si>
    <t>SEV-Simple felső vezetése 2,5m oliva</t>
  </si>
  <si>
    <t>SEV-Tor górny Simple j.brąz-2,50m</t>
  </si>
  <si>
    <t>SEV-Simple felső vezetés 2,5m ezüst</t>
  </si>
  <si>
    <t>SEV-Tor górny Simple srebrny-2,50m</t>
  </si>
  <si>
    <t>SEV-Simple felső vezetés 2m oliva</t>
  </si>
  <si>
    <t>SEV-Tor górny Simple j.brąz-2,00m</t>
  </si>
  <si>
    <t>SEV-Simple felső vezetés 2m ezüst</t>
  </si>
  <si>
    <t>SEV-Tor górny Simple srebrny-2,00m</t>
  </si>
  <si>
    <t>SEV-Simple felső vezetés 3m oliva</t>
  </si>
  <si>
    <t>SEV-Tor górny Simple j.brąz-3,00m</t>
  </si>
  <si>
    <t>SEV-Simple felső vezetés 3m ezüst</t>
  </si>
  <si>
    <t>SEV-Tor górny Simple srebrny-3,00m</t>
  </si>
  <si>
    <t>SEV- Simple felső vezetés 4m oliva</t>
  </si>
  <si>
    <t>SEV-Tor górny Simple j.brąz-4,00m</t>
  </si>
  <si>
    <t>SEV-Simple felső vezetés 4m ezüst</t>
  </si>
  <si>
    <t>SEV-Tor górny Simple srebrny-4,00m</t>
  </si>
  <si>
    <t>SEV-felső vezetés Simple 6m oliva</t>
  </si>
  <si>
    <t>SEV-Tor górny Simple j.brąz-6,00m</t>
  </si>
  <si>
    <t>SEV-Tor górny Simple srebrny-6,00m</t>
  </si>
  <si>
    <t>SEV-Simple alsó vezetés 1,5m ezüst</t>
  </si>
  <si>
    <t>SEV-Tor dolny Simple srebrny-1,50m</t>
  </si>
  <si>
    <t>SEV-Tor dolny Simple j.brąz-6,00m</t>
  </si>
  <si>
    <t>SEV-Tor dolny Simple srebrny-6,00m</t>
  </si>
  <si>
    <t>SEV-Simple alsó vezetés 1,5m oliva</t>
  </si>
  <si>
    <t>SEV-Tor dolny Simple j.brąz-1,50m</t>
  </si>
  <si>
    <t>SEV-Simple alsó vezetés 2,5m oliva</t>
  </si>
  <si>
    <t>SEV-Tor dolny Simple j.brąz-2,50m</t>
  </si>
  <si>
    <t>SEV-Simple alsó vezetés 2,5m ezüst</t>
  </si>
  <si>
    <t>SEV-Tor dolny Simple srebrny-2,50m</t>
  </si>
  <si>
    <t>SEV-Simple alsó vezetés 2m oliva</t>
  </si>
  <si>
    <t>SEV-Tor dolny Simple j.brąz-2,00m</t>
  </si>
  <si>
    <t>SEV-Simple alsó vezetés 2m ezüst</t>
  </si>
  <si>
    <t>SEV-Tor dolny Simple srebrny-2,00m</t>
  </si>
  <si>
    <t>SEV-Simple alsó vezetés 3m oliva</t>
  </si>
  <si>
    <t>SEV-Tor dolny Simple j.brąz-3,00m</t>
  </si>
  <si>
    <t>SEV-Simple alsó vezetés 3m ezüst</t>
  </si>
  <si>
    <t>SEV-Tor dolny Simple srebrny-3,00m</t>
  </si>
  <si>
    <t>SEV-Simple alsó vezetés 4m oliva</t>
  </si>
  <si>
    <t>SEV-Tor dolny Simple j.brąz-4,00m</t>
  </si>
  <si>
    <t>SEV-Simple alsó vezetés 4m ezüst</t>
  </si>
  <si>
    <t>SEV-Tor dolny Simple srebrny-4,00m</t>
  </si>
  <si>
    <t>SEV-Simple/Blue finomállító felső görgőh</t>
  </si>
  <si>
    <t>SEV-Pozycjoner wózka gór.Simple (100szt.</t>
  </si>
  <si>
    <t>SEV-finomállító Simple/Blue</t>
  </si>
  <si>
    <t>SEV-Tor górny Single srebrny-1,70m</t>
  </si>
  <si>
    <t>SEV-Tor górny Single j.brąz-2,35m</t>
  </si>
  <si>
    <t>SEV-Tor górny Single srebrny-2,35m</t>
  </si>
  <si>
    <t>SEV-Tor górny Single j.brąz-3,00m</t>
  </si>
  <si>
    <t>SEV-Tor górny Single srebrny-3,00m</t>
  </si>
  <si>
    <t>SEV-Single felső sín 6m ezüst</t>
  </si>
  <si>
    <t>SEV-Tor górny Single srebrny-6,00m</t>
  </si>
  <si>
    <t>SEV-Profil ramkowy L24 Sli.L sreb.-2,7m</t>
  </si>
  <si>
    <t>SEV-Tor Smart j.brąz-1,70m</t>
  </si>
  <si>
    <t>SEV-Tor Smart srebrny-1,70m</t>
  </si>
  <si>
    <t>SEV-Tor Smart j.brąz-2,35m</t>
  </si>
  <si>
    <t>SEV-Tor Smart srebrny-2,35m</t>
  </si>
  <si>
    <t>SEV-Tor Smart j.brąz-3,00m</t>
  </si>
  <si>
    <t>SEV-Tor Smart srebrny-3,00m</t>
  </si>
  <si>
    <t>SEV-List.poz.dol.Dec..biały POŁ. -.1,70m</t>
  </si>
  <si>
    <t>SEV-Listwa poz.dolna czarna szczotk.1,7m</t>
  </si>
  <si>
    <t>SEV-Listwa poz.dolna-Dec.j.brąz-1,70m</t>
  </si>
  <si>
    <t>SEV-alsó tak.profil 1,7m szálcsiszolt ol</t>
  </si>
  <si>
    <t>SEV-List.poz.dolna-Dec.j.brąz szcz.1,70m</t>
  </si>
  <si>
    <t>SEV-Listwa poz.dolna koniak szczotk.1,7m</t>
  </si>
  <si>
    <t>SEV-Listwa poz.dolna-Dec.sreb.-1,70m</t>
  </si>
  <si>
    <t>SEV-profil maskujący dolny 1,70m złoty</t>
  </si>
  <si>
    <t>SEV-alsó tak.profil 2,35m fehér fény.</t>
  </si>
  <si>
    <t>SEV-List.poz.dol.Dec.biały POŁ. 2,35m</t>
  </si>
  <si>
    <t>SEV-Listwa poz.dolna-Dec.j.brąz-2,35m</t>
  </si>
  <si>
    <t>SEV-alsó tak.profil 2,35m szálcs.olív</t>
  </si>
  <si>
    <t>SEV-List.poz.dolna-Dec.j.brąz szcz.2,35m</t>
  </si>
  <si>
    <t>SEV-Listwa poz.dolna-Dec.sreb.-2,35m</t>
  </si>
  <si>
    <t>SEV-profil maskujący dolny 2,35m złoty</t>
  </si>
  <si>
    <t>SEV-List.poz.dolna-Dec.czarna szcz.2,35m</t>
  </si>
  <si>
    <t>SEV-alsó takaró profil 3m fehér fényes</t>
  </si>
  <si>
    <t>SEV-List.poz.dol.Dec.biały POŁ.-3m</t>
  </si>
  <si>
    <t>SEV-alsó tak.profil 3m feket.szálcs.</t>
  </si>
  <si>
    <t>SEV-List.poz.dolna-Dec.czarna szcz.3,00m</t>
  </si>
  <si>
    <t>SEV-Listwa poz.dolna-Dec.j.brąz-3,00m</t>
  </si>
  <si>
    <t>SEV-alsó tak.profil 3m szálcs.olív</t>
  </si>
  <si>
    <t>SEV-List.poz.dolna-Dec.j.brąz szcz.3,00m</t>
  </si>
  <si>
    <t>SEV-List.poz.dolna-Dec.koniak szcz.3,00m</t>
  </si>
  <si>
    <t>SEV-Listwa poz.dolna-Dec.sreb.-3,00m</t>
  </si>
  <si>
    <t>SEV-tor dolny 3m złoty</t>
  </si>
  <si>
    <t>SEV-alsó tak.prof.Simple/Blue  1,5m(18mm</t>
  </si>
  <si>
    <t>SEV-Listwa poz.dol.Simp.Fr18 j.brąz-1,5m</t>
  </si>
  <si>
    <t>SEV-alsó tak prof.Simple/Blue 1,5m(18mm)</t>
  </si>
  <si>
    <t>SEV-List.poz.dol.Simple Frame sreb.1,50m</t>
  </si>
  <si>
    <t>SEV-alsó tak.prof.Simple/Blue  2,5m(18mm</t>
  </si>
  <si>
    <t>SEV-Listwa poz.dol.Simp.Fr18 j.brąz-2,5m</t>
  </si>
  <si>
    <t>SEV-alsó tak.pro.Simple/Blue 2,5m(18mm)e</t>
  </si>
  <si>
    <t>SEV-Listwa poz.dol.Simp.Fr18 sreb.-2,50m</t>
  </si>
  <si>
    <t>SEV-Listwa poz.dol.Simp.Fr18 j.brąz-2,0m</t>
  </si>
  <si>
    <t>SEV-alsó tak prof.Simple/Blue 2m(18mm)ez</t>
  </si>
  <si>
    <t>SEV-List.poz.dol.Simple Frame sreb.2,00m</t>
  </si>
  <si>
    <t>SEV-alsó tak.profil Simple/Blue 3m(18mm)</t>
  </si>
  <si>
    <t>SEV-Listwa poz.dol.Simp.Fr18 j.brąz-3,0m</t>
  </si>
  <si>
    <t>SEV-alsó takaró prof. Simple/Blue 3m (18</t>
  </si>
  <si>
    <t>SEV-List.poz.dol.Simple Frame sreb.3,00m</t>
  </si>
  <si>
    <t>SEV-alsó görgő Blue C (keret nélküli 18m</t>
  </si>
  <si>
    <t>SEV-alsó görgő Blue C (keretes rendszer)</t>
  </si>
  <si>
    <t>SEV-alsó görgő Blue V (keret nélküli 18m</t>
  </si>
  <si>
    <t>SEV-alsó görgő 18 mm-es FFL-ra - 2db-rug</t>
  </si>
  <si>
    <t>SEV- wózek dolny DTD 18mm bez sprężyny -2szt+pozycjoner</t>
  </si>
  <si>
    <t>SEV-spodní vozík DTD 18mm-2ks+pozicionér</t>
  </si>
  <si>
    <t>SEV-alsó görgő DTD 18mm-2db+finomáll.</t>
  </si>
  <si>
    <t>SEV-alsó görgő Simple (ker.nélk.18mm)-2d</t>
  </si>
  <si>
    <t>SEV-Wózek dolny Simple 18 Board - 2szt</t>
  </si>
  <si>
    <t>SEV-alsó görgő Simple/Blue(ker.rend.)-2d</t>
  </si>
  <si>
    <t>SEV-Wózek dolny Simple 10 rolka wyp.2szt</t>
  </si>
  <si>
    <t>SEV-Wózek dol.WD10V (zest.2szt.+STOPER)</t>
  </si>
  <si>
    <t>SEV-spodní vozík WD10 V 2ks bez pozicionéru</t>
  </si>
  <si>
    <t>SEV-alsó görgő WD10 V 2db finomáll.nélk.</t>
  </si>
  <si>
    <t>SEV-Wózek dolny WD10V DUO rolka wypukła</t>
  </si>
  <si>
    <t>SEV-alsó görgő WD18V(2 görgő+finomállító</t>
  </si>
  <si>
    <t>SEV- wózek dol.WD18V (2 x  Kółko.+pozycj.)</t>
  </si>
  <si>
    <t>SEV- wózek dolny WD18V (2x wózek +pozycjoner) ze sprężyną</t>
  </si>
  <si>
    <t>SEV-List.poz.dolna-Dec.koniak szcz.2,35m</t>
  </si>
  <si>
    <t>SEV-Teownik ZW j.brąz-3,00m</t>
  </si>
  <si>
    <t>SEV-Teownik ZW srebrny-3,00m</t>
  </si>
  <si>
    <t>SEV-Łącznik H04 3m j.brąz</t>
  </si>
  <si>
    <t>SEV-Łącznik H04 srebrny-3,00m</t>
  </si>
  <si>
    <t>SEV-Łącznik H08/16 j.brąz-3,00m</t>
  </si>
  <si>
    <t>SEV-Łącznik H08/16 srebrny-3,00m</t>
  </si>
  <si>
    <t>SEV-összek.profil H08/18 3m fehér matt</t>
  </si>
  <si>
    <t>SEV- łącznik H08/18 3m biały matowy</t>
  </si>
  <si>
    <t>SEV-összekötő profil H08/18 3m oliva</t>
  </si>
  <si>
    <t>SEV-Łącznik H08/18 j.brąz-3,00m</t>
  </si>
  <si>
    <t>SEV-Łącznik H08/18 srebrny-3,00m</t>
  </si>
  <si>
    <t>SEV-Łącznik H10 RAL biały POŁYSK-3,00m</t>
  </si>
  <si>
    <t>SEV-összek.prof."H10" 3m fekete szálcs.</t>
  </si>
  <si>
    <t>SEV-Łącznik H10 czarny szczotk.-3,00m.</t>
  </si>
  <si>
    <t>SEV-Łącznik H10 j.brąz-3,00m.</t>
  </si>
  <si>
    <t>SEV-összek.profil H10 3m szálcs.olíva</t>
  </si>
  <si>
    <t>SEV-Łącznik H10 j.brąz szczotk.-3,00m.</t>
  </si>
  <si>
    <t>SEV-összek.prof."H10" 3m olív sö.szálcs</t>
  </si>
  <si>
    <t>SEV-Łącznik H10 koniak szczotk.-3,00m.</t>
  </si>
  <si>
    <t>SEV-Łącznik H10 srebrny-3,00m.</t>
  </si>
  <si>
    <t>SEV-összekötő prof.H10 3m, arany</t>
  </si>
  <si>
    <t>SEV-Łącznik H10 3m złoty</t>
  </si>
  <si>
    <t>SEV-Łącznik H10-Decor j.brąz-3,00m.</t>
  </si>
  <si>
    <t>SEV-Łącznik H10-Decor srebrny-3,00m.</t>
  </si>
  <si>
    <t>SEV-Łącznik H16-Decor srebrny-3,00m</t>
  </si>
  <si>
    <t>SEV-spojovacia lišta H16 3m strie</t>
  </si>
  <si>
    <t>SEV-összek.profil H18 3m fényes fehér</t>
  </si>
  <si>
    <t>SEV-Łącznik H18-Dec.biały POŁ. -3,00m</t>
  </si>
  <si>
    <t>SEV-Łącznik H18 czarny szczotk.-3,00m</t>
  </si>
  <si>
    <t>SEV-Łącznik H18-Decor j.brąz-3,00m</t>
  </si>
  <si>
    <t>SEV- össz.profil H18 3m szálcsiszolt olí</t>
  </si>
  <si>
    <t>SEV-Łącznik H18-Dec.j.brąz szcz.3,00m</t>
  </si>
  <si>
    <t>SEV-összek.profil H18 3m sötét szálcsisz</t>
  </si>
  <si>
    <t>SEV-Łącznik H18 koniak szczotk.-3,00m</t>
  </si>
  <si>
    <t>SEV-összek.profil H18 3m ezüst</t>
  </si>
  <si>
    <t>SEV-Łącznik H18-Decor srebrny-3,00m</t>
  </si>
  <si>
    <t>SEV-összek.profil H18 3m arany</t>
  </si>
  <si>
    <t>SEV-Łącznik H18 3m złoty</t>
  </si>
  <si>
    <t>SEV-összek.prof. H30 3m fehér fényes</t>
  </si>
  <si>
    <t>SEV- łącznik H30 3m biały połysk</t>
  </si>
  <si>
    <t>SEV-Łącznik H30-Decor j.brąz-3,00m</t>
  </si>
  <si>
    <t>SEV-253S-ÖSSZEK.PROFIL H-30mm EZ.3M</t>
  </si>
  <si>
    <t>SEV-Łącznik H30-Decor srebrny-3,00m.</t>
  </si>
  <si>
    <t>SEV-összek.prof Simple/Blue H21 3m(18mm)</t>
  </si>
  <si>
    <t>SEV-Łącznik H25-Simple Frame j.brąz-3,00</t>
  </si>
  <si>
    <t>SEV-összek.prof.Simple/Blue H21 3m(18mm)</t>
  </si>
  <si>
    <t>SEV-összek.profil Simple/Blue H28 3m (18</t>
  </si>
  <si>
    <t>SEV-Łącznik H31-Simple Frame j.brąz-3,0m</t>
  </si>
  <si>
    <t>SEV-összeköt prof. Simple/Blue H28 3m(18</t>
  </si>
  <si>
    <t>SEV-Teownik 18-Decor j.brąz-3,00m</t>
  </si>
  <si>
    <t>SEV-Teownik 18-Decor srebrny-3,00m</t>
  </si>
  <si>
    <t>SEV-Teownik 04-Decor srebrny-3,00m</t>
  </si>
  <si>
    <t>SEV-Klips do szczotki</t>
  </si>
  <si>
    <t>SEV-Star rączka  2,7m srebrny</t>
  </si>
  <si>
    <t>SEV-Star fog.profil  2,7m olíva</t>
  </si>
  <si>
    <t>SEV-Raczka Star j.braz-2,70m</t>
  </si>
  <si>
    <t>SEV-Rączka 10-ka II j.brąz-2,70m.</t>
  </si>
  <si>
    <t>SEV-Rączka 10-ka II srebrna-2,70m</t>
  </si>
  <si>
    <t>SEV-System 10 II rączka 2,7m złoty</t>
  </si>
  <si>
    <t>SEV-csavar 6,3*32- Sevroll és Simple</t>
  </si>
  <si>
    <t>SEV-Blachowkręty 6,3x32mm</t>
  </si>
  <si>
    <t>SEV-Uszczelka bezbarwna 8,0mm (10,1x8,0)</t>
  </si>
  <si>
    <t>SEV-ömítés üvegre 10/4,5mm</t>
  </si>
  <si>
    <t>SEV-Uszczelka bezbarwna  4,5mm</t>
  </si>
  <si>
    <t>SEV-Uszczelka bezbarwna  4,0mm</t>
  </si>
  <si>
    <t>SEV-Uszczelka bezbarwna  6,4mm</t>
  </si>
  <si>
    <t>SEV-Uszczelka bezbarwna  6,0mm</t>
  </si>
  <si>
    <t>SEV-Usczelka bezbarwna 18/4mm,niesymetry</t>
  </si>
  <si>
    <t>SEV-Uszczelka bezbar.18/4mm 25mb-symetry</t>
  </si>
  <si>
    <t>SEV-Uszczelka bezbar.18/8mm 25mb-symet</t>
  </si>
  <si>
    <t>SEV-csilla.Central 10/18mm kétoldolú 25k</t>
  </si>
  <si>
    <t>SEV-csillap.Central 10/18mm kétold. 25-4</t>
  </si>
  <si>
    <t>SEV-Samod.SEVROMATIC CENTRAL SV-40 (1szt</t>
  </si>
  <si>
    <t>SEV-Samodomykacz SEVROMATIC SV-25 (L)</t>
  </si>
  <si>
    <t>SEV-Samodomykacz SEVROMATIC SV-25 (P)</t>
  </si>
  <si>
    <t>SEV-Samodomykacz SEVROMATIC SV-50 (L)</t>
  </si>
  <si>
    <t>SEV-Samodomykacz SEVROMATIC SV-50 (P)</t>
  </si>
  <si>
    <t>SEV-Samod.SEVROMATIC MINI SV-40 (2szt.)</t>
  </si>
  <si>
    <t>SEV-ütközés csillapító Mini SV-60</t>
  </si>
  <si>
    <t>SEV-Samodomyk.SEVROMATIC MINI SV-60(luz)</t>
  </si>
  <si>
    <t>SEV-csillapító Simple 18  40kg (J+B)</t>
  </si>
  <si>
    <t>SEV-tłum.odboj. Simple 18  40kg (L+P)</t>
  </si>
  <si>
    <t>SEV-csillapító Simple 10/18  40kg (J+B)</t>
  </si>
  <si>
    <t>SEV-csillapító Top SV60-2db</t>
  </si>
  <si>
    <t>SEV-Samodom.SEVROMATIC TOP SV-60 (2szt.)</t>
  </si>
  <si>
    <t>SEV-csillapító Top SV80 - 2db</t>
  </si>
  <si>
    <t>SEV-Samodom.SEVROMATIC TOP SV-80 (2szt.)</t>
  </si>
  <si>
    <t>SEV- Top felső vezetés egyszerű 3m ezüst</t>
  </si>
  <si>
    <t>SEV-Tor górny Top srebrny-3,00m</t>
  </si>
  <si>
    <t>SEV- Top felső vezetés egyszerű 6m ezüst</t>
  </si>
  <si>
    <t>SEV-Tor górny Top srebrny-6,00m</t>
  </si>
  <si>
    <t>SEV- Top felső vezetés egyszerű 3m oliva</t>
  </si>
  <si>
    <t>SEV-Tor górny Top j.brąz-3,00m</t>
  </si>
  <si>
    <t>SEV- Top felső vezetés egyszerű 6m oliva</t>
  </si>
  <si>
    <t>SEV-Tor górny Top j.brąz-6,00m</t>
  </si>
  <si>
    <t>SEV-Rączka Tytan j.brąz-2,70m</t>
  </si>
  <si>
    <t>SEV-Rączka Tytan srebrna-2,70m</t>
  </si>
  <si>
    <t>SEV-Kątownik 10x10x1,2 srebrny-3,00m</t>
  </si>
  <si>
    <t>SEV-Kątownik 10x18x1,2 srebrny-3,00m</t>
  </si>
  <si>
    <t>SEV-Kątownik Mini j.brąz-1,70m.</t>
  </si>
  <si>
    <t>SEV-Kątownik Mini srebrny-1,70m</t>
  </si>
  <si>
    <t>SEV-Kątownik Mini złoty-1,70m</t>
  </si>
  <si>
    <t>SEV-Kątownik Mini j.brąz-2,35m</t>
  </si>
  <si>
    <t>SEV-Kątownik Mini srebrny-2,35m</t>
  </si>
  <si>
    <t>SEV-sarokvas 17*11mm 2,35m arany</t>
  </si>
  <si>
    <t>SEV-Kątownik Mini złoty-2,35m</t>
  </si>
  <si>
    <t>SEV-Kątownik Mini j.brąz-3,00m</t>
  </si>
  <si>
    <t>SEV-Kątownik Mini srebrny-3,00m</t>
  </si>
  <si>
    <t>SEV-Kątownik Mini złoty-3,00m</t>
  </si>
  <si>
    <t>SEV-Kątownik Mini  biały POŁ.-1,70m</t>
  </si>
  <si>
    <t>SEV-Kątownik Mini biały POŁ-2,35m</t>
  </si>
  <si>
    <t>SEV-sarokvas 17x11 3m fehér fényes</t>
  </si>
  <si>
    <t>SEV-Kątownik Mini  biały POŁ.-3,00m</t>
  </si>
  <si>
    <t>SEV-sarokvas 17x11mm 3m fehér matt</t>
  </si>
  <si>
    <t>SEV-Kątownik Mini RAL 9003 MAT-3,00m</t>
  </si>
  <si>
    <t>SEV-Kątownik 18x18x1,2 srebrny-3,00m</t>
  </si>
  <si>
    <t>SEV-sarokvas. 18x36mm 3m oliva</t>
  </si>
  <si>
    <t>SEV-Kątownik 18x36x1,2 j.brąz-3,00m</t>
  </si>
  <si>
    <t>SEV-sarokv. 18x36mm  3m ezüst</t>
  </si>
  <si>
    <t>SEV-Kątownik 18x36x1,2 srebrny-3,00m</t>
  </si>
  <si>
    <t>SEV-Kątownik 22x22x1,2 srebrny-3,00m</t>
  </si>
  <si>
    <t>SEV-sarokvas. 36x36mm 3m oliva</t>
  </si>
  <si>
    <t>SEV-Kątownik 36x36x1,2 j.brąz-3,00m</t>
  </si>
  <si>
    <t>SEV-sarokvas. 36x36mm 3m ezüst</t>
  </si>
  <si>
    <t>SEV-Kątownik 36x36x1,2 srebrny-3,00m</t>
  </si>
  <si>
    <t>SEV-Kątownik K2-Decor czarny szcz.-1,70m</t>
  </si>
  <si>
    <t>SEV- K2 sarokvas 1,7m sötét szálcsiszolt</t>
  </si>
  <si>
    <t>SEV-Kątownik K2-Decor koniak szcz.-1,70m</t>
  </si>
  <si>
    <t>SEV-Kątownik K2-Decor czarny szcz.-2,35m</t>
  </si>
  <si>
    <t>SEV-K2 sarokvas 2,35m sötét szálcsiszolt</t>
  </si>
  <si>
    <t>SEV-Kątownik K2-Decor koniak szcz.-2,35m</t>
  </si>
  <si>
    <t>SEV-Kątownik K2-Decor czarny szcz.-3,00m</t>
  </si>
  <si>
    <t>SEV-K2 sarokvas 3m sötét szálcsiszolt ol</t>
  </si>
  <si>
    <t>SEV-Kątownik K2-Decor koniak szcz.-3,00m</t>
  </si>
  <si>
    <t>SEV-Kątownik K2-Decor j.brąz-1,70m</t>
  </si>
  <si>
    <t>SEV-K2 Decor sarokvas 1,7m szálcsiszolt</t>
  </si>
  <si>
    <t>SEV-Kątownik K2-Decor j.brąz szcz.-1,70m</t>
  </si>
  <si>
    <t>SEV-Kątownik K2-Decor srebrny-1,70m</t>
  </si>
  <si>
    <t>SEV-Kątownik K2-Decor j.brąz-2,35m</t>
  </si>
  <si>
    <t>SEV-K2 Decor sarokvas 2,35m szálcsiszolt</t>
  </si>
  <si>
    <t>SEV-Kątownik K2-Decor j.brąz szcz.-2,35m</t>
  </si>
  <si>
    <t>SEV-Kątownik K2-Decor srebrny-2,35m</t>
  </si>
  <si>
    <t>SEV-sarokvas K2 Decor 2,35m arany</t>
  </si>
  <si>
    <t>SEV-Kątownik K2 Decor  2,35m złoty</t>
  </si>
  <si>
    <t>SEV-Kątownik K2-Decor j.brąz-3,00m</t>
  </si>
  <si>
    <t>SEV-K2 Decor sarokvas 3m szálcsiszolt ol</t>
  </si>
  <si>
    <t>SEV-Kątownik K2-Decor j.brąz szcz.-3,00m</t>
  </si>
  <si>
    <t>SEV-Kątownik K2-Decor srebrny-3,00m</t>
  </si>
  <si>
    <t>SEV-fogantyú Push 90mm csisz.ni.</t>
  </si>
  <si>
    <t>SEV-uchwyt Push 90mm szlif.nikiel</t>
  </si>
  <si>
    <t>SEV-Rączka Unicomfort II j.brąz-2,7m</t>
  </si>
  <si>
    <t>SEV-Unicomfort II úchytová lišta 2,7m ol</t>
  </si>
  <si>
    <t>SEV-Rącz.Unicomfort 16/18 II sreb.-2,70m</t>
  </si>
  <si>
    <t>SEV-Unicomfort II úchytová lišta 2,7m zlatá</t>
  </si>
  <si>
    <t>SEV-Unicomfort II rączka 2,7m złoty</t>
  </si>
  <si>
    <t>SEv-Universal 16 rączka 2,7m srebrny</t>
  </si>
  <si>
    <t>SEV-Universal 18 fog.profil 2,7m oliva</t>
  </si>
  <si>
    <t>SEV-Rączka Universal 18 j.brąz-2,70m</t>
  </si>
  <si>
    <t>SEV-Universal 18 fog.profil 2,7m ezüst</t>
  </si>
  <si>
    <t>SEV-Rączka Universal 18 srebrna-2,70m</t>
  </si>
  <si>
    <t>SEV-Rączka Uno j.brąz-2,70m</t>
  </si>
  <si>
    <t>SEV-Uno fogantyú profil18mm 2,70m ezüst</t>
  </si>
  <si>
    <t>SEV-Rączka Uno srebrna-2,70m</t>
  </si>
  <si>
    <t>SEV-rögzítő ék Blue 40 db (üveg 4mm)</t>
  </si>
  <si>
    <t>SEV-feler.ék Simple 40db (üveg 4mm )</t>
  </si>
  <si>
    <t>SEV-Klin mocuj.do szkła Simple-Frame 15</t>
  </si>
  <si>
    <t>SEV-Victoria II 2,7m feket.szálcs.</t>
  </si>
  <si>
    <t>SEV-Rącz.Victoria II czarna szcz.2,7m</t>
  </si>
  <si>
    <t>SEV-Victoria II 2,7m oliva söt.szálcs.</t>
  </si>
  <si>
    <t>SEV-Rącz.Victoria II koniak szcz.2,70m</t>
  </si>
  <si>
    <t>SEV-Racz.Victoria 16/18 II j.braz-2,70m</t>
  </si>
  <si>
    <t>SEV-Victoria II fog.profil 18mm 2,7m ezü</t>
  </si>
  <si>
    <t>SEV-Raczka Victoria 16/18 II sreb.-2,70m</t>
  </si>
  <si>
    <t>SEV-Victoria II rączka 18mm 2,7m złoty</t>
  </si>
  <si>
    <t>SEV-Victoria II-fog.pro.2,7m szálcs.olív</t>
  </si>
  <si>
    <t>SEV-Rącz.Victoria II j.brąz szcz.2,70 m</t>
  </si>
  <si>
    <t>SEV-Wkręt Smart 2,5x18</t>
  </si>
  <si>
    <t>Fogantyú profil minta 2017 irattartó ÁR.</t>
  </si>
  <si>
    <t>Wzornik rączek 2017 Sprzedaż</t>
  </si>
  <si>
    <t>Vzorkovník úchyt.líšt 2017 šanón PREDAJ</t>
  </si>
  <si>
    <t>SEV-Zamek do drzwi przesuw. (Gemini 18)</t>
  </si>
  <si>
    <t>SEV-zámek na posuvné dveře 18 mm (stejný klíč)</t>
  </si>
  <si>
    <t>SEV-zár tolóajtóra 18 mm (egyforma kulcs</t>
  </si>
  <si>
    <t>SEV-takaró alsó vezetésre Simple/Blue</t>
  </si>
  <si>
    <t>SEV-Zaślepka gumowa do toru dolnego-50mb</t>
  </si>
  <si>
    <t>SEV-maska Elegant II 1,7m strieborná</t>
  </si>
  <si>
    <t>SEV-maska Elegant II 2,35m strieborná</t>
  </si>
  <si>
    <t>SEV-maska Elegant II 3m strieborná</t>
  </si>
  <si>
    <t>SEV-maska Elegant II 4,05m strieborná</t>
  </si>
  <si>
    <t>SEV-zaślepka Elegant II 3m j.brąz</t>
  </si>
  <si>
    <t>SEV-zaślepka Elegant II 4,05m j.brąz</t>
  </si>
  <si>
    <t>SEV-zaślepka Elegant II 6m j.brąz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</si>
  <si>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</si>
  <si>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</si>
  <si>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</si>
  <si>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</si>
  <si>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</si>
  <si>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</si>
  <si>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</si>
  <si>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</si>
  <si>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</si>
  <si>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</si>
  <si>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</si>
  <si>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</si>
  <si>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</si>
  <si>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</si>
  <si>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</si>
  <si>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</si>
  <si>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</si>
  <si>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</si>
  <si>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</si>
  <si>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</si>
  <si>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</si>
  <si>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</si>
  <si>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</si>
  <si>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</si>
  <si>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</si>
  <si>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AST-Quadro úch.lišta 2,7m stříbrná</t>
  </si>
  <si>
    <t>AST-Prestige II úch.lišta 2,7m stříbrná</t>
  </si>
  <si>
    <t>AST-Prestige II spodní vozík (sada2ks)</t>
  </si>
  <si>
    <t>AST-Prestige II spod. vod.lišta 6m stř.</t>
  </si>
  <si>
    <t>AST-Prestige II profil H10</t>
  </si>
  <si>
    <t>AST-Prestige II maska 6m stř.</t>
  </si>
  <si>
    <t>AST-Prestige II horní vozík (sada 2ks)</t>
  </si>
  <si>
    <t>AST-Prestige II horní ved. 6 m stříbrná</t>
  </si>
  <si>
    <t>AST-Prestige II hor. vod.lišta 6m stř.</t>
  </si>
  <si>
    <t>AST-Prestige II dolní ved. 6 m stříbrná</t>
  </si>
  <si>
    <t>AST-Quadro fog.profil 2,7m ezüst</t>
  </si>
  <si>
    <t>AST-Prestige II alsó görgő (szett 2db)</t>
  </si>
  <si>
    <t>AST-Prestige II alsó vezető prof. 6m ezü</t>
  </si>
  <si>
    <t>AST-Prestige II takaró 6m ezüst</t>
  </si>
  <si>
    <t>AST-Prestige II felső görgő (szett 2db)</t>
  </si>
  <si>
    <t>AST-Prestige II felső vezetés 6 m ezüst</t>
  </si>
  <si>
    <t>AST-Prestige II felső vezető prof. 6m ez</t>
  </si>
  <si>
    <t>AST-Prestige II alsó vezetés 6 m ezüst</t>
  </si>
  <si>
    <t>AST-Lux III fog.profil 2,7m ezüst</t>
  </si>
  <si>
    <t>AST-Lux III fog.profil 2,7m oliva</t>
  </si>
  <si>
    <t>AST- tor górny 3,6m szczot.czarny</t>
  </si>
  <si>
    <t>AST-maskownica 5,4m oliwa lak.</t>
  </si>
  <si>
    <t>AST-Elegant rączka 2,7m srebr. (22/1)</t>
  </si>
  <si>
    <t>SEV-Hide N spodní vedení 3,6m RAL9003 mat</t>
  </si>
  <si>
    <t>SEV-Hide N spodní vedení 1,7m RAL9003 lesk</t>
  </si>
  <si>
    <t>SEV-Herkules-synchro mechanika na 2x50kg</t>
  </si>
  <si>
    <t>SEV-Herkules 2 horní vedení 2,4m alu</t>
  </si>
  <si>
    <t>SEV-sín INTER S 35kg tetőbe 6m</t>
  </si>
  <si>
    <t>SEV-sín INTER S 35kg tetőbe 3m</t>
  </si>
  <si>
    <t>SEV-sín INTER B 35kg falra 6m</t>
  </si>
  <si>
    <t>SEV-sín INTER B 35kg falra 3m</t>
  </si>
  <si>
    <t>SEV-vezetés Galaxy S 50kg mennyezetre 4m</t>
  </si>
  <si>
    <t>SEV-vezetés Galaxy S 50kg mennyezet.2,5m</t>
  </si>
  <si>
    <t>SEV-vezetés Galaxy S 50kg mennyezet.1,5m</t>
  </si>
  <si>
    <t>SEV-vezetés Galaxy B 50kg falra 4m</t>
  </si>
  <si>
    <t>SEV-vezetés Galaxy B 50kg falra 2,5m</t>
  </si>
  <si>
    <t>SEV-vezetés Galaxy B 50kg falra 1,5m</t>
  </si>
  <si>
    <t>SEV-Ursus felső vezetés 3,6m nat.</t>
  </si>
  <si>
    <t>SEV-takaró profil Galaxy 6 m</t>
  </si>
  <si>
    <t>SEV-takaró profil Galaxy 1,5 m ezüst</t>
  </si>
  <si>
    <t>SEV-alsó vezetés Hide N 6m ezüst</t>
  </si>
  <si>
    <t>SEV-Hide N alsó vezetés 3,6m RAL9003 mat</t>
  </si>
  <si>
    <t>SEV-alsó vezetés Hide N 1,7m ezüst</t>
  </si>
  <si>
    <t>SEV-Hide N alsó vezetés 1,7m RAL9003 fén</t>
  </si>
  <si>
    <t>SEV-alsó vezetés Hide M 6m ezüst</t>
  </si>
  <si>
    <t>SEV-alsó vezetés Hide M 2,35m ezüst</t>
  </si>
  <si>
    <t>SEV- alsó vezetés Hide M 1,7m ezüst</t>
  </si>
  <si>
    <t>SEV-Herkules csillapító 40 - 80kg</t>
  </si>
  <si>
    <t>SEV-Felső sín Herkules plus 6m alu</t>
  </si>
  <si>
    <t>SEV-Felső sín Herkules plus 4m alu</t>
  </si>
  <si>
    <t>SEV-Herkules Glass szett kov.100kg</t>
  </si>
  <si>
    <t>SEV-Herkules 2 felső vezetés 6m alu</t>
  </si>
  <si>
    <t>SEV-Herkules 2 felső vezetés 4m alu</t>
  </si>
  <si>
    <t>SEV-Herkules 2 felső vezetés 3m alu</t>
  </si>
  <si>
    <t>SEV-Herkules 2 felső vezetés 2m alu</t>
  </si>
  <si>
    <t>SEV-Herkules 2 felső vezetés 1,8m alu</t>
  </si>
  <si>
    <t>SEV-Herkules 2 felső vezetés 1,5m alu</t>
  </si>
  <si>
    <t>SEV- Herkules 2 felső vezetés 1,2m alu</t>
  </si>
  <si>
    <t>SEV-Exclusive vasalat sze. ZPE-18</t>
  </si>
  <si>
    <t>SEV-Exclusive vasalt szett ZPE-10</t>
  </si>
  <si>
    <t>SEV-Exclusive felső sín 1,2m ezüst</t>
  </si>
  <si>
    <t>SEV-Exclusive gömbölyű fék alsó</t>
  </si>
  <si>
    <t>SEV- Exclusive fék gumival felső</t>
  </si>
  <si>
    <t>SEV-Herkules-szinkr.mechan. 2x50kg-ra</t>
  </si>
  <si>
    <t>SEV-Herkules 2 felső vezetés 2,4m alu</t>
  </si>
  <si>
    <t>SEV-sín INTER S 35kg tetőbe 2m</t>
  </si>
  <si>
    <t>SEV-sín INTER S 35kg födémbe 1,5m</t>
  </si>
  <si>
    <t>SEV-sín INTER B 35kg falra 2m</t>
  </si>
  <si>
    <t>SEV-sín INTER B 35kg falra 1,5m</t>
  </si>
  <si>
    <t>SEV-sín Galaxy S 50kg tetőbe 6m</t>
  </si>
  <si>
    <t>SEV-sín Galaxy S 50kg tetőbe 3m</t>
  </si>
  <si>
    <t>SEV-sín Galaxy S 50kg tetőbe 2m</t>
  </si>
  <si>
    <t>SEV-sín Galaxy B 50kg falra 6m</t>
  </si>
  <si>
    <t>SEV-sín Galaxy B 50kg falra 3m</t>
  </si>
  <si>
    <t>SEV-sín Galaxy B 50kg falra 2m</t>
  </si>
  <si>
    <t>SEV-szett bels ajtóra SIMPLE ZPI-18, 50k</t>
  </si>
  <si>
    <t>SEV-takaró profil Galaxy 3 m</t>
  </si>
  <si>
    <t>SEV-takaró profil Galaxy 2 m</t>
  </si>
  <si>
    <t>SEV-alsó vezetés Hide M 3m ezüst</t>
  </si>
  <si>
    <t>SEV-Prowadnik 102 N</t>
  </si>
  <si>
    <t>SEV-Tor górny Inter sur.-6,00m (sufit)</t>
  </si>
  <si>
    <t>SEV-Tor górny Inter sur.-3,00m (sufit)</t>
  </si>
  <si>
    <t>SEV-Tor górny Inter sur.-6,00m (ściana)</t>
  </si>
  <si>
    <t>SEV-Tor górny Inter sur.-3,00m (ściana)</t>
  </si>
  <si>
    <t>SEV-Tor górny Galaxy MOC.SUFITOWE sur.4m</t>
  </si>
  <si>
    <t>SEV-Tor górny Galaxy SUFITOWE sur.2,5m</t>
  </si>
  <si>
    <t>SEV-Tor górny Galaxy SUFITOWE sur.1,5m</t>
  </si>
  <si>
    <t>SEV-Tor górny Galaxy DO ŚCIANY sur.4m</t>
  </si>
  <si>
    <t>SEV-Tor górny Galaxy DO ŚCIANY sur.2,5m</t>
  </si>
  <si>
    <t>SEV-Tor górny Galaxy DO ŚCIANY sur.1,5m</t>
  </si>
  <si>
    <t>SEV-Zestaw do drzwi przejściowych ZP-18</t>
  </si>
  <si>
    <t>SEV-Tor górny Ursus-Decor surowy-3,00m</t>
  </si>
  <si>
    <t>SEV-Tor górny Ursus-Decor surowy-1,80m</t>
  </si>
  <si>
    <t>SEV-Tor górny Ursus-Decor surowy-1,20m</t>
  </si>
  <si>
    <t>SEV-Złączki do 2 skrz.SYMETRIC-mechanizm</t>
  </si>
  <si>
    <t>SEV-Wspornik ścienny do toru Single (2sz</t>
  </si>
  <si>
    <t>SEV-Profil MDF wkładka 2,80m.</t>
  </si>
  <si>
    <t>SEV-Maskownica Galaxy 67mm srebrna-6,00m</t>
  </si>
  <si>
    <t>SEV-Maskownica Galaxy 67mm srebrna-1,50m</t>
  </si>
  <si>
    <t>SEV-Maskow.HERKULES GLASS sreb.2010 mm</t>
  </si>
  <si>
    <t>SEV-Tor dolny Hide N srebrny-6,00m</t>
  </si>
  <si>
    <t>SEV-Tor dolny Hide N j.braz-6,00m</t>
  </si>
  <si>
    <t>SEV-Tor dolny Hide N j.brąz-3,00m</t>
  </si>
  <si>
    <t>SEV-Tor dolny Hide N srebrny-2,35m</t>
  </si>
  <si>
    <t>SEV-Tor dolny Hide N srebrny-1,70m</t>
  </si>
  <si>
    <t>SEV-Tor dolny Hide M srebrny-6,00m</t>
  </si>
  <si>
    <t>SEV-Tor dolny Hide M j.brąz-3,00m</t>
  </si>
  <si>
    <t>SEV-Tor dolny Hide M srebrny-2,35m</t>
  </si>
  <si>
    <t>SEV-Tor dolny Hide M srebrny-1,70m</t>
  </si>
  <si>
    <t>SEV-Samodomykacz do drzwi przes.HERKULES</t>
  </si>
  <si>
    <t>SEV-Zestaw HERKULES-60/300-3000mm</t>
  </si>
  <si>
    <t>SEV-Zestaw HERKULES-60/200-2000mm</t>
  </si>
  <si>
    <t>SEV-Zestaw HERKULES-60/240-2400mm</t>
  </si>
  <si>
    <t>SEV-Zestaw HERKULES-60/180-1800mm</t>
  </si>
  <si>
    <t>SEV-Zestaw HERKULES-60/150-1500mm</t>
  </si>
  <si>
    <t>SEV-Zestaw HERKULES-60/120-1200mm</t>
  </si>
  <si>
    <t>SEV-Złączki do 1 skrz. HERKULES-60kg</t>
  </si>
  <si>
    <t>SEV-Zestaw HERKULES-120/300-3000mm</t>
  </si>
  <si>
    <t>SEV-Zestaw HERKULES-120/200-2000mm</t>
  </si>
  <si>
    <t>SEV-Zestaw HERKULES-120/240-2400mm</t>
  </si>
  <si>
    <t>SEV-Zestaw HERKULES-120/180-1800mm</t>
  </si>
  <si>
    <t>SEV-Zestaw HERKULES-120/150-1500mm</t>
  </si>
  <si>
    <t>SEV-Zestaw HERKULES-120/120-1200mm</t>
  </si>
  <si>
    <t>SEV-Złączki do 1 skrz. HERKULES-120kg</t>
  </si>
  <si>
    <t>SEV-Zestaw HERKULES GLASS-100/200-2000mm</t>
  </si>
  <si>
    <t>SEV-Herkules Glass kpl.okuć 100kg</t>
  </si>
  <si>
    <t>SEV-Prowadnica alumin.HERKULES 2 6m</t>
  </si>
  <si>
    <t>SEV-Prowadnica alumin.HERKULES 2 4m</t>
  </si>
  <si>
    <t>SEV-Prowadnica alumin.HERKULES 2 3m</t>
  </si>
  <si>
    <t>SEV-Prowadnica alumin.HERKULES 2 2m</t>
  </si>
  <si>
    <t>SEV-Prowadnica alumin.HERKULES 2 1,8m</t>
  </si>
  <si>
    <t>SEV-Prowadnica alumin.HERKULES 2 1,5m</t>
  </si>
  <si>
    <t>SEV-Prowadnica alumin.HERKULES 2 1,2m</t>
  </si>
  <si>
    <t>SEV-Zestaw do drzwi przejśc.ZPE-18 (Excl</t>
  </si>
  <si>
    <t>SEV-Zestaw do drzwi przejśc.ZPE-10</t>
  </si>
  <si>
    <t>SEV-Tor górny Exclusive srebrny-3,00m</t>
  </si>
  <si>
    <t>SEV-Tor górny Exclusive j.brąz-3,00m</t>
  </si>
  <si>
    <t>SEV-Tor górny Exclusive srebrny-3,60m</t>
  </si>
  <si>
    <t>SEV-Tor górny Exclusive srebrny-1,80m</t>
  </si>
  <si>
    <t>SEV-Tor górny Exclusive j.brąz-1,80m</t>
  </si>
  <si>
    <t>SEV-Tor górny Exclusive srebrny-1,20m</t>
  </si>
  <si>
    <t>SEV-Tor górny Exclusive j.brąz-1,20m</t>
  </si>
  <si>
    <t>SEV-Exclusive hamulec okrągły</t>
  </si>
  <si>
    <t>SEV-Odbojnik gumowy OGUE ze stop.Excl/Ur</t>
  </si>
  <si>
    <t>SEV-Zaślep.mask.toru HERKULES GLA.(2szt.</t>
  </si>
  <si>
    <t>SEV-Maskownica HERKULES 2 brąz 2400 mm</t>
  </si>
  <si>
    <t>SEV-Prowadnica alum. HERKULES 2 2,4m</t>
  </si>
  <si>
    <t>SEV-Tor górny Inter surowy-2,00m (sufit)</t>
  </si>
  <si>
    <t>SEV-Tor górny Inter surowy-1,50m (sufit)</t>
  </si>
  <si>
    <t>SEV-Tor górny Inter sur.-2,00m (ściana)</t>
  </si>
  <si>
    <t>SEV-Tor górny Inter surowy-1,50m (ściana</t>
  </si>
  <si>
    <t>SEV-Tor górny Galaxy surowy-6,00m (sufit</t>
  </si>
  <si>
    <t>SEV-Tor górny Galaxy surowy-3,00m (sufit</t>
  </si>
  <si>
    <t>SEV-Tor górny Galaxy sur.-2,00m (sufit)</t>
  </si>
  <si>
    <t>SEV-Tor górny Galaxy sur.-6,00m (ściana)</t>
  </si>
  <si>
    <t>SEV-Tor górny Galaxy sur.-3,00m (ściana)</t>
  </si>
  <si>
    <t>SEV-Tor górny Galaxy surowy-2,00m ściana</t>
  </si>
  <si>
    <t>SEV-Zestaw do drzwi przejściowych ZPS-18</t>
  </si>
  <si>
    <t>SEV-Maskownica Galaxy 67mm srebrna-3,00m</t>
  </si>
  <si>
    <t>SEV-Maskownica Galaxy 67mm srebrna-2,00m</t>
  </si>
  <si>
    <t>SEV-Tor dolny Hide N srebrny-3,00m</t>
  </si>
  <si>
    <t>SEV-Tor dolny Hide M srebrny-3,00m</t>
  </si>
  <si>
    <t>SEV-krycí profil Galaxy 1,5 m</t>
  </si>
  <si>
    <t>SEV-Herkules 2 horné vedenie 2,4m alu</t>
  </si>
  <si>
    <t>SEV vedenie Galaxy S 50kg do stropu 3m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</si>
  <si>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</si>
  <si>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</si>
  <si>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</si>
  <si>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</si>
  <si>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SEV-WIERTŁO STOPNIOWE DO ALUM.6,5/9,5mm</t>
  </si>
  <si>
    <t>SEV-Fúró lépcs.6,5/9,5mm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</si>
  <si>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</si>
  <si>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</si>
  <si>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</si>
  <si>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</si>
  <si>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</si>
  <si>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</si>
  <si>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</si>
  <si>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</si>
  <si>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</si>
  <si>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</si>
  <si>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</si>
  <si>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</si>
  <si>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</si>
  <si>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</si>
  <si>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SEV-profily pro vzorovou skříň Tomeš</t>
  </si>
  <si>
    <t>SEV-reklamní klíč Simple  pro  DTD 18mm</t>
  </si>
  <si>
    <t>SEV-reklamní imbus pro vozíky DTD 18mm</t>
  </si>
  <si>
    <t>SEV-Gemini horní vedení  1,56m stříbrná</t>
  </si>
  <si>
    <t>SEV-összekötő profil Simple H31 3m (18mm</t>
  </si>
  <si>
    <t>SEV-összek.prof.Simple H25 ez.3m(18mm)ez</t>
  </si>
  <si>
    <t>SEV-Factor 18 II-fog.profil ezüst.2,305m</t>
  </si>
  <si>
    <t>SEV-tömítés üvegre 10/4mm - 114m</t>
  </si>
  <si>
    <t>SEV-reklám Simple k. FFL 18mm alsó görg.</t>
  </si>
  <si>
    <t>SEV-reklám imbusz k. FFL 18mm alsó görg.</t>
  </si>
  <si>
    <t>SEV-szerelési eszköz Eden/Pax-hoz</t>
  </si>
  <si>
    <t>SEV-szer.eszk FFL-ra 10mm nagy</t>
  </si>
  <si>
    <t>SEV-Gemini felső vezetés 1,56m ezüst</t>
  </si>
  <si>
    <t>SEV-bizt.fólia  500mm/50m transzparens</t>
  </si>
  <si>
    <t>SEV-Gemini felső vezetés 2,355m ezüst+ny</t>
  </si>
  <si>
    <t>SEV-Cleft alsó vezetés 2,355m ezüst+nyíl</t>
  </si>
  <si>
    <t>SEV-Simple/Blue szerelési eszköz FFL-ra</t>
  </si>
  <si>
    <t>SEV-szerelő eszköz Maxim rendszerhez kic</t>
  </si>
  <si>
    <t>SEV-Szerelési szer FFL-ra 10mm kicsi</t>
  </si>
  <si>
    <t>SEV-Micra sablon görhőkhöz</t>
  </si>
  <si>
    <t>SEV-Łącznik H31-Simple Frame sreb.-3,00m</t>
  </si>
  <si>
    <t>SEV-Łącznik H25-Simple Frame sreb.-3,00m</t>
  </si>
  <si>
    <t>SEV-Factor 16 - rączka .sreb. 2,7m</t>
  </si>
  <si>
    <t>SEV-Pudelko z profilami Simple</t>
  </si>
  <si>
    <t>SEV-SZABLON DO WÓZKÓW</t>
  </si>
  <si>
    <t>SEV-Alfa II rączka 15cm biały połysk</t>
  </si>
  <si>
    <t>SEV-WZORNIK FOLII DREWNOPOD. (SEVROLL-27</t>
  </si>
  <si>
    <t>SEV-SZABLON  SIMPLEBLUE  kpl.</t>
  </si>
  <si>
    <t>SEV-Stojak stalowy duży</t>
  </si>
  <si>
    <t>SEV-FOLIA OCHR. SAMOP.TRANSP.50 (dł.50m)</t>
  </si>
  <si>
    <t>SEV-PRZYRZĄD WIERTARSKI SIMPLE (MAŁY)</t>
  </si>
  <si>
    <t>SEV-PRZYRZĄD WIERTARSKI MAXIM (MAŁY)</t>
  </si>
  <si>
    <t>SEV-PRZYRZĄD WIERTARSKI (MAŁY)</t>
  </si>
  <si>
    <t>SEV-reklamný kľúč Simple  pre  DTD 18mm</t>
  </si>
  <si>
    <t>SEV-reklamný imbus pre vozíky DTD 18mm</t>
  </si>
  <si>
    <t>SEV-Gemini horné vedenie 1,56m strieborn</t>
  </si>
  <si>
    <t>zámek posuvných dveří</t>
  </si>
  <si>
    <t>Fala (Blue)</t>
  </si>
  <si>
    <t>Era (rámová)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</si>
  <si>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</si>
  <si>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</si>
  <si>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</si>
  <si>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</si>
  <si>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</si>
  <si>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</si>
  <si>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</si>
  <si>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IF-krytka nalepovací 13mm 20ks 06 oliva metalíza</t>
  </si>
  <si>
    <t>IF-ragasztott csavar takaró.13mm 20db 06</t>
  </si>
  <si>
    <t>IF-krytka nalepovacia13mm 20ks 06 oliva</t>
  </si>
  <si>
    <t>IF-zaśl.przykl.13mm 20szt 06 oliwka met.</t>
  </si>
  <si>
    <t>IF-krytka nalepovací 13mm 20ks 93336 hliník mat</t>
  </si>
  <si>
    <t>IF-ragasztott csavar takaró.13mm 20db 93</t>
  </si>
  <si>
    <t>IF-krytka nalepovacia13mm 20ks 93336 hli</t>
  </si>
  <si>
    <t>IF-zaśl.samop 13mm 20szt 93336 alum mat</t>
  </si>
  <si>
    <t>Era (Blue 18)</t>
  </si>
  <si>
    <t>Rekord (Blue 18)</t>
  </si>
  <si>
    <t>Polo (Blue)</t>
  </si>
  <si>
    <t xml:space="preserve">             12 + 4 mm</t>
  </si>
  <si>
    <t>Era (bezrámová)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</si>
  <si>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</si>
  <si>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</si>
  <si>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</si>
  <si>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</si>
  <si>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</si>
  <si>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</si>
  <si>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</si>
  <si>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</si>
  <si>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</si>
  <si>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</si>
  <si>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</si>
  <si>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</si>
  <si>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</si>
  <si>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>V případě nalezení chyby, nejasností, nám napište e-mail na nikola.janikova@demos-trade.com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</si>
  <si>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</si>
  <si>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</si>
  <si>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</si>
  <si>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</si>
  <si>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katalog kování 2018 str.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</si>
  <si>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</si>
  <si>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</si>
  <si>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</si>
  <si>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</si>
  <si>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</si>
  <si>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</si>
  <si>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</si>
  <si>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</si>
  <si>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</si>
  <si>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</si>
  <si>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</si>
  <si>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</si>
  <si>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</si>
  <si>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</si>
  <si>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</si>
  <si>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2018 Bútorvasalat katalógus  old.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</si>
  <si>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</si>
  <si>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</si>
  <si>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</si>
  <si>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</si>
  <si>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</si>
  <si>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</si>
  <si>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</si>
  <si>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</si>
  <si>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</si>
  <si>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</si>
  <si>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</si>
  <si>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</si>
  <si>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katalóg kovania 2018 str.</t>
  </si>
  <si>
    <t>zámok posuvných dverí</t>
  </si>
  <si>
    <t>zamek do drzwi przesuwnych</t>
  </si>
  <si>
    <t>zacisk do dylatacji wypełnienia 16 mm</t>
  </si>
  <si>
    <t>dylatacja 4 mm</t>
  </si>
  <si>
    <t>katalog okuć Meblowych 2018 str.</t>
  </si>
  <si>
    <t>rysunek techniczny tego systemu</t>
  </si>
  <si>
    <t>SEV-2x alsó görgő WD18V finomállító nélkül, rugóval</t>
  </si>
  <si>
    <t>SEV-2xwózek dolny WD18V bez pozycjonera, ze sprężyną</t>
  </si>
  <si>
    <t>SEV-2x wózek dolny DTD 18mm, bez pozycjonera, bez sprężyny</t>
  </si>
  <si>
    <t>SEV-2x spodný vozík DTD 18mm, bez pozicionéru, bez pružiny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</si>
  <si>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</si>
  <si>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</si>
  <si>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</si>
  <si>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</si>
  <si>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</si>
  <si>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</si>
  <si>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Victoria II úchytová lišta 18mm 2,7m zlatá</t>
  </si>
  <si>
    <t>SEVROLL Viktoria II úch.list.18mm 2,7m zlatá</t>
  </si>
  <si>
    <t>SEVROLL upevňovací klín Simple 40ks (sklo 4mm)</t>
  </si>
  <si>
    <t>SEVROLL upevňov.klín Simple 40ks (sklo 4mm)</t>
  </si>
  <si>
    <t>SEVROLL tlumič dorazu Simple/Blue 10/18 40kg L+P</t>
  </si>
  <si>
    <t>SEV-Samodom.SIMPLE 10 i 18 MINI (2szt.)</t>
  </si>
  <si>
    <t>SEVROLL tlmič doraz.Simple 10/18 40kg(L+P)</t>
  </si>
  <si>
    <t>SEVROLL tlumič dorazu Simple 18 40kg L+P</t>
  </si>
  <si>
    <t>SEVROLL tlmič dorazu Simple 18 40kg (L+P)</t>
  </si>
  <si>
    <t>SEVROLL tlumič dorazu 10 a 18mm 14 - 25kg</t>
  </si>
  <si>
    <t>SEVROLL tlmič dorazu 10 a 18mm 14 - 25kg</t>
  </si>
  <si>
    <t>SEVROLL spojovací lišta Simple H31 3m (pro lamino 18mm) stříbrná</t>
  </si>
  <si>
    <t>SEVROLL spoj.lišta Simple H31 3m(18mm) str.</t>
  </si>
  <si>
    <t>SEVROLL spojovací lišta Simple H25 3m (pro lamino 18mm) stříbrná</t>
  </si>
  <si>
    <t>SEVROLL spoj.lišta Simple H25 3m(18mm) str.</t>
  </si>
  <si>
    <t>SEVROLL spodní vozík WD18V (2x vozík+pozicionér) s pružinou</t>
  </si>
  <si>
    <t>SEV-alsó görgő WD18V (2x görgő+finomál.) rugóval</t>
  </si>
  <si>
    <t>SEVROLL spodný vozík WD18V (2x vozík+pozic.)</t>
  </si>
  <si>
    <t>SEVROLL spodní vozík WD18V (2x vozík+pozicionér)</t>
  </si>
  <si>
    <t>SEVROLL spodní vozík WD10 V Duo 60kg</t>
  </si>
  <si>
    <t>SEV-alsó görgő WD10 V Duo 60kg</t>
  </si>
  <si>
    <t>SEVROLL spodní vozík V 10mm - 2ks + pozicionér</t>
  </si>
  <si>
    <t>SEV-alsó görgő V 10mm (2 db+finomállító)</t>
  </si>
  <si>
    <t>SEVROLL spodný vozík V 10mm(2ks+pozicionér)</t>
  </si>
  <si>
    <t>SEVROLL spodní vozík pro lamino 18mm bez pružiny - 2ks + pozicionér</t>
  </si>
  <si>
    <t>SEVROLL spodný vozík pre DTD 18mm - 2ks + po</t>
  </si>
  <si>
    <t>SEVROLL Simple/Blue pozicionér pro horní vozík</t>
  </si>
  <si>
    <t>SEVROLL Simple/Blue pozicionér pre horný voz</t>
  </si>
  <si>
    <t>SEVROLL Simple spodní vedení 6m stříbrná</t>
  </si>
  <si>
    <t>SEVROLL Simple spodné vedenie 6m strieborná</t>
  </si>
  <si>
    <t>SEVROLL Simple spodní vedení 4m stříbrná</t>
  </si>
  <si>
    <t>SEVROLL Simple spodné vedenie 4m strieborné</t>
  </si>
  <si>
    <t>SEVROLL Simple spodní vedení 3m stříbrná</t>
  </si>
  <si>
    <t>SEVROLL Simple spodné vedenie 3m strieborné</t>
  </si>
  <si>
    <t>SEVROLL Simple spodní vedení 2m stříbrná</t>
  </si>
  <si>
    <t>SEVROLL Simple spodné vedenie 2m strieborné</t>
  </si>
  <si>
    <t>SEVROLL Simple spodní vedení 1,5m stříbrná</t>
  </si>
  <si>
    <t>SEVROLL Simple spodné vedenie 1,5m strieborn</t>
  </si>
  <si>
    <t>SEVROLL Simple horní vedení 6m stříbrná</t>
  </si>
  <si>
    <t>SEVROLL Simple horné vedenie 6m strieborná</t>
  </si>
  <si>
    <t>SEVROLL Simple horní vedení 4m stříbrná</t>
  </si>
  <si>
    <t>SEVROLL Simple horné vedenie 4m strieborná</t>
  </si>
  <si>
    <t>SEVROLL Simple horní vedení 3m stříbrná</t>
  </si>
  <si>
    <t>SEVROLL Simple horné vedenie 3m strieborná</t>
  </si>
  <si>
    <t>SEVROLL Simple horní vedení 2m stříbrná</t>
  </si>
  <si>
    <t>SEVROLL Simple horné vedenie 2m strieborná</t>
  </si>
  <si>
    <t>SEVROLL Simple horní vedení 1,5m stříbrná</t>
  </si>
  <si>
    <t>SEVROLL Simple horné vedenie 1,5m strieborná</t>
  </si>
  <si>
    <t>SEVROLL maska Cleft 6m stříbrná</t>
  </si>
  <si>
    <t>SEVROLL maska Cleft 6m strieborná</t>
  </si>
  <si>
    <t>SEVROLL maska Cleft 4,05m zlatá</t>
  </si>
  <si>
    <t>SEVROLL maska Cleft 4,05m stříbrná</t>
  </si>
  <si>
    <t>SEVROLL maska Cleft 4,05m strieborná</t>
  </si>
  <si>
    <t>SEVROLL maska Cleft 4,05m oliva</t>
  </si>
  <si>
    <t>SEVROLL maska Cleft 3m zlatá</t>
  </si>
  <si>
    <t>SEVROLL maska Cleft 3m stříbrná</t>
  </si>
  <si>
    <t>SEVROLL maska Cleft 3m oliva</t>
  </si>
  <si>
    <t>SEVROLL maska Cleft 2,35m zlatá</t>
  </si>
  <si>
    <t>SEVROLL maska Cleft 2,35m stříbrná</t>
  </si>
  <si>
    <t>SEVROLL maska Cleft 2,35m oliva</t>
  </si>
  <si>
    <t>SEVROLL maska Cleft 1,7m zlatá</t>
  </si>
  <si>
    <t>SEVROLL maska Cleft 1,7m stříbrná</t>
  </si>
  <si>
    <t>SEVROLL maska Cleft 1,7m oliva</t>
  </si>
  <si>
    <t>SEVROLL Libra úchytová lišta 18mm 2,70m stříbrná</t>
  </si>
  <si>
    <t>SEVROLL Libra úch. lišta 18mm 2,70m strieborná</t>
  </si>
  <si>
    <t>SEVROLL horní vozík Simple (pro lamino 18mm) rámový L+P</t>
  </si>
  <si>
    <t>SEVROLL horný vozík Simple (18mm)rámový L+P</t>
  </si>
  <si>
    <t>SEVROLL horní vozík Simple (10mm Polo) symetrický L+P</t>
  </si>
  <si>
    <t>SEVROLL horný vozík Simple (10mm Polo) symet</t>
  </si>
  <si>
    <t>SEVROLL horní vozík Simple (10mm Fala) asymetrický L+P</t>
  </si>
  <si>
    <t>SEVROLL horný vozík Simple (10mm Fala ) asym</t>
  </si>
  <si>
    <t>SEVROLL Focus II 16mm úchytová lišta 2,7m stříbrná</t>
  </si>
  <si>
    <t>SEVROLL Focus II 16mm úch.lišta 2,7m strieborná</t>
  </si>
  <si>
    <t>SEVROLL Focus 18mm úchytová lišta 2,7m oliva</t>
  </si>
  <si>
    <t>SEVROLL Focus 18mm úch.lišta 2,7m oliva</t>
  </si>
  <si>
    <t>SEVROLL First horní/spodní vedení 1,8m stříbrná</t>
  </si>
  <si>
    <t>SEVROLL First horné/spodné vedenie 1,8m str.</t>
  </si>
  <si>
    <t>SEVROLL Factor 18 II úchytová lišta stříbrná 2,305m</t>
  </si>
  <si>
    <t>SEVROLL Factor 18 II-úchyt.lišta str. 2,305m</t>
  </si>
  <si>
    <t>SEVROLL Factor 18 II úchytová lišta 2,7m zlatá</t>
  </si>
  <si>
    <t>SEVROLL Factor 18 II-úchytová lišta zlatá 2,</t>
  </si>
  <si>
    <t>SEVROLL Factor 16 úchytová lišta stříbrná 2,7m</t>
  </si>
  <si>
    <t>SEVROLL Factor 16-úchyt.lišta strieborná2,7m</t>
  </si>
  <si>
    <t>SEVROLL Cleft spodní vedení 6m stříbrná</t>
  </si>
  <si>
    <t>SEVROLL Cleft spodné vedenie 6m strieborná</t>
  </si>
  <si>
    <t>SEVROLL Cleft spodní vedení 4,05m zlatá</t>
  </si>
  <si>
    <t>SEVROLL spodné vedenie 4,05m zlatá</t>
  </si>
  <si>
    <t>SEVROLL Cleft spodní vedení 4,05m stříbrná</t>
  </si>
  <si>
    <t>SEVROLL Cleft spodné vedenie 4,05m strieborn</t>
  </si>
  <si>
    <t>SEVROLL Cleft spodní vedení 4,05m oliva</t>
  </si>
  <si>
    <t>SEVROLL Cleft spodné vedenie 4,05m oliva</t>
  </si>
  <si>
    <t>SEVROLL Cleft spodní vedení 3m zlatá</t>
  </si>
  <si>
    <t>SEVROLL spodné vedenie 3m zlatá</t>
  </si>
  <si>
    <t>SEVROLL Cleft spodní vedení 3m stříbrná</t>
  </si>
  <si>
    <t>SEVROLL Cleft spodné vedenie 3m strieborná</t>
  </si>
  <si>
    <t>SEVROLL Cleft spodní vedení 3m oliva</t>
  </si>
  <si>
    <t>SEVROLL Cleft spodné vedenie 3m oliva</t>
  </si>
  <si>
    <t>SEVROLL Cleft spodní vedení 2,35m stříbrná</t>
  </si>
  <si>
    <t>SEVROLL Cleft spodné vedenie 2,35m strieborn</t>
  </si>
  <si>
    <t>SEVROLL Cleft spodní vedení 2,35m oliva</t>
  </si>
  <si>
    <t>SEVROLL Cleft spodné vedenie 2,35m oliva</t>
  </si>
  <si>
    <t>SEVROLL Cleft spodní vedení 2,355m stříbrná + otvory</t>
  </si>
  <si>
    <t>SEVROLL Gemini spodné vedenie 2,355m stieborná+otvory</t>
  </si>
  <si>
    <t>SEVROLL Cleft spodní vedení 1,7m stříbrná</t>
  </si>
  <si>
    <t>SEVROLL Cleft spodné vedenie 1,7m strieborná</t>
  </si>
  <si>
    <t>SEVROLL Cleft spodní vedení 1,7m oliva</t>
  </si>
  <si>
    <t>SEVROLL Cleft spodné vedenie 1,7m oliva</t>
  </si>
  <si>
    <t>OKE-kartáč samolepící 6,7x12mm šedý</t>
  </si>
  <si>
    <t>OKE-kefka samolep.6,7*12mm sivá</t>
  </si>
  <si>
    <t>OKE-kartáč dorazový samolepící 6,7x10mm šedý</t>
  </si>
  <si>
    <t>OKE-Támfalas kefe öntapadó 6,7*10mm szürke</t>
  </si>
  <si>
    <t>OKE-kefka doraz.samolep.6,7*10mm sivá</t>
  </si>
  <si>
    <t>OKE-kartáč doraz samolepící 6,7x8mm šedý</t>
  </si>
  <si>
    <t>OKE-Támfalas kefe öntapadó 6,7*8mm szürke</t>
  </si>
  <si>
    <t>OKE-kefka doraz.samolep.6,7*8mm sivá</t>
  </si>
  <si>
    <t>ASTIN horní vedení 3,6m černá kartáčovaná</t>
  </si>
  <si>
    <t>ASTIN horné vedenie 3,6m kartáč.ČIERNA</t>
  </si>
  <si>
    <t>SEVROLL Vzorník úchytových lišt 2017 šanon prodej</t>
  </si>
  <si>
    <t>SEVROLL vzorkovník profilů Simple (krabička)</t>
  </si>
  <si>
    <t>SEVROLL vzorkovník profilov Simple (krabička</t>
  </si>
  <si>
    <t>SEVROLL vzorkovník profilů Sevroll (krabička)</t>
  </si>
  <si>
    <t>SEVROLL Victoria úchytová lišta 150mm oliva kartáčovaná</t>
  </si>
  <si>
    <t>SEVROLL unašeč k tlumiči 11027</t>
  </si>
  <si>
    <t>SEVROLL unášač k tlmiču 11027</t>
  </si>
  <si>
    <t>SEVROLL šablona pro vozíky pro lamino 18mm</t>
  </si>
  <si>
    <t>SEVROLL šablóna pre vozíky DTD 18mm</t>
  </si>
  <si>
    <t>SEVROLL reklamní šablona pro vozíky pro lamino 18mm</t>
  </si>
  <si>
    <t>SEVROLL Fox II úchytová lišta 150mm oliva</t>
  </si>
  <si>
    <t>SEVROLL Fox II úchytová lišta 150mm černá kartáčovaná</t>
  </si>
  <si>
    <t>SEVROLL Alfa II úchytová lišta 150mm bílá lesk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</si>
  <si>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</si>
  <si>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</si>
  <si>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</si>
  <si>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</si>
  <si>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</si>
  <si>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SEV-listwa łącząca H16 3m oliwa</t>
  </si>
  <si>
    <t>SEVROLL zámek na posuvné dveře pro madlo Karat a Prosper</t>
  </si>
  <si>
    <t>SEVROLL vzorkovník samolepících fólií</t>
  </si>
  <si>
    <t>SEVROLL vodící trn</t>
  </si>
  <si>
    <t>SEVROLL vodiaci tŕň</t>
  </si>
  <si>
    <t>SEVROLL Victoria II 2,7m oliva tmavá kartáčovaná</t>
  </si>
  <si>
    <t>SEVROLL Victoria II 2,7 oliva tmavá kartáč</t>
  </si>
  <si>
    <t>SEVROLL vedení INTER S 35kg do stropu 6m</t>
  </si>
  <si>
    <t>SEVROLL vedenie INTER S 35kg do stropu 6m</t>
  </si>
  <si>
    <t>SEVROLL vedení INTER S 35kg do stropu 3m</t>
  </si>
  <si>
    <t>SEVROLL vedenie INTER S 35kg do stropu 3m</t>
  </si>
  <si>
    <t>SEVROLL vedení INTER B 35kg na stěnu 6m</t>
  </si>
  <si>
    <t>SEVROLL vedenie INTER B 35kg na stenu 6m</t>
  </si>
  <si>
    <t>SEVROLL vedení INTER B 35kg na stěnu 3m</t>
  </si>
  <si>
    <t>SEVROLL vedenie INTER B 35kg do stropu 3m</t>
  </si>
  <si>
    <t>SEVROLL vedení Galaxy S 50kg do stropu 4m</t>
  </si>
  <si>
    <t>SEVROLL vedenie Galaxy S 50kg do stropu 4m</t>
  </si>
  <si>
    <t>SEVROLL vedení Galaxy S 50kg do stropu 2,5m</t>
  </si>
  <si>
    <t>SEVROLL vedenie Galaxy S 50kg do stropu 2,5m</t>
  </si>
  <si>
    <t>SEVROLL vedení Galaxy S 50kg do stropu 1,5m</t>
  </si>
  <si>
    <t>SEVROLL vedenie Galaxy S 50kg do stropu 1,5m</t>
  </si>
  <si>
    <t>SEVROLL vedení Galaxy B 50kg na stěnu 4m</t>
  </si>
  <si>
    <t>SEVROLL vedenie Galaxy B 50kg na stenu 4m</t>
  </si>
  <si>
    <t>SEVROLL vedení Galaxy B 50kg na stěnu 2,5m</t>
  </si>
  <si>
    <t>SEVROLL vedenie Galaxy B 50kg na stenu 2,5m</t>
  </si>
  <si>
    <t>SEVROLL vedení Galaxy B 50kg na stěnu 1,5m</t>
  </si>
  <si>
    <t>SEVROLL vedenie Galaxy B 50kg na stenu 1,5m</t>
  </si>
  <si>
    <t>SEVROLL Ursus sada kování ZP-18 pro 1 křídlo</t>
  </si>
  <si>
    <t>SEVROLL-SADA KOVANIA ZP-18 URSUS</t>
  </si>
  <si>
    <t>SEVROLL Ursus horní vedení 3m surová</t>
  </si>
  <si>
    <t>SEVROLL Ursus horní vedení 3,6m surová</t>
  </si>
  <si>
    <t>SEVROLL Ursus horní vedení 1,8m surová</t>
  </si>
  <si>
    <t>SEVROLL Ursus horní vedení 1,2m surová</t>
  </si>
  <si>
    <t>SEVROLL Uno úchytová lišta 18mm 2,70m stříbrná</t>
  </si>
  <si>
    <t>SEVROLL Uno úch.lišta 18mm 2,70m stieb</t>
  </si>
  <si>
    <t>SEVROLL Uno úchytová lišta 18mm 2,70m oliva</t>
  </si>
  <si>
    <t>SEVROLL Universal 16 úchytová lišta 2,7m stříbrná</t>
  </si>
  <si>
    <t>SEVROLL Universal 16 úchytová lišta 2,7m str</t>
  </si>
  <si>
    <t>SEVROLL Unicomfort II úchytová lišta 2,7m oliva</t>
  </si>
  <si>
    <t>SEVROLL Unicomfort II úchytová lišta 2,7m ol</t>
  </si>
  <si>
    <t>SEVROLL úchytka Push 90mm broušený nikl</t>
  </si>
  <si>
    <t>SEVROLL úchytka Push 90mm brúsený nikel</t>
  </si>
  <si>
    <t>SEVROLL úhelník K2 Decor 2,35m zlatá</t>
  </si>
  <si>
    <t>SEVROLL uholník K2 Decor 2,35m zlatá</t>
  </si>
  <si>
    <t>SEVROLL úhelník K2 Decor 1,7m oliva</t>
  </si>
  <si>
    <t>SEVROLL-278 UHOLNÍK K2 1,70M OLIVOVÁ</t>
  </si>
  <si>
    <t>SEVROLL úhelník K2 3m oliva tmavá kartáčovaná</t>
  </si>
  <si>
    <t>SEVROLL uholník K2 3m oliva tmavá kartáč.</t>
  </si>
  <si>
    <t>SEVROLL úhelník K2 2,35m oliva tmavá kartáčovaná</t>
  </si>
  <si>
    <t>SEVROLL uholník K2 2,35m oliva tmavá kartáč</t>
  </si>
  <si>
    <t>SEVROLL úhelník K2 2,35m černá kartáčovaná</t>
  </si>
  <si>
    <t>SEVROLL uholník K2 2,35m čierna kartáč</t>
  </si>
  <si>
    <t>SEVROLL úhelník K2 1,7m oliva tmavá kartáčovaná</t>
  </si>
  <si>
    <t>SEVROLL úholník K2 1,7m oliva tmavá kartáč</t>
  </si>
  <si>
    <t>SEVROLL úhelník K2 1,7m černá kartáčovaná</t>
  </si>
  <si>
    <t>SEVROLL uholník K2 1,7m čierna kartáč</t>
  </si>
  <si>
    <t>SEVROLL úhelník 36x36mm 3m oliva</t>
  </si>
  <si>
    <t>SEVROLL uholník 36x36mm 3m oliva</t>
  </si>
  <si>
    <t>SEVROLL úhelník 22x22mm 3m stříbrná</t>
  </si>
  <si>
    <t>SEVROLL uholník 22x22mm 3m stieb</t>
  </si>
  <si>
    <t>SEVROLL úhelník 18x36mm 3m oliva</t>
  </si>
  <si>
    <t>SEVROLL uholník 18x36mm 3m oliva</t>
  </si>
  <si>
    <t>SEVROLL úhelník 18x18mm 3m stříbrná</t>
  </si>
  <si>
    <t>SEVROLL úhelné vedeniem strie</t>
  </si>
  <si>
    <t>SEVROLL úhelník 17x11mm 3m zlatá</t>
  </si>
  <si>
    <t>SEVROLL úhelník 17x11mm 3m bílá mat</t>
  </si>
  <si>
    <t>SEVROLL uholník 17x11mm 3m RAL9003 mat</t>
  </si>
  <si>
    <t>SEVROLL úhelník 17x11mm 2,35m zlatá</t>
  </si>
  <si>
    <t>SEVROLL úhelník 17x11mm 1,7m zlatá</t>
  </si>
  <si>
    <t>SEVROLL úhelník 10x18mm 3m stříbrná</t>
  </si>
  <si>
    <t>SEVROLL uholník 10x18mm 3m strieb</t>
  </si>
  <si>
    <t>SEVROLL úhelník 10x10mm 3m stříbrná</t>
  </si>
  <si>
    <t>SEVROLL uholník 10x10mm 3m strieb</t>
  </si>
  <si>
    <t>SEVROLL Top horní vedení jednoduché 6m stříbrná</t>
  </si>
  <si>
    <t>SEVROLL Top horní vedení jednoduché 6m oliva</t>
  </si>
  <si>
    <t>SEVROLL Top horní vedení jednoduché 3m stříbrná</t>
  </si>
  <si>
    <t>SEVROLL Top horní vedení jednoduché 3m oliva</t>
  </si>
  <si>
    <t>SEVROLL tlumič dorazu Top SV80 - 2ks</t>
  </si>
  <si>
    <t>SEVROLL tlmič dorazu Top SV80 - 2ks</t>
  </si>
  <si>
    <t>SEVROLL tlumič dorazu Top SV60 - 2ks</t>
  </si>
  <si>
    <t>SEVROLL tlumič dorazu Simple/Blue 10/18 25kg L+P</t>
  </si>
  <si>
    <t>SEVROLL tlumič dorazu Mini SV60 (40 - 60kg) - 2ks</t>
  </si>
  <si>
    <t>SEV-ütközés csillapító Mini SV60 - 2 db (40 - 60 kg)</t>
  </si>
  <si>
    <t>SEVROLL tlumič dorazu Mini SV-60 (40 - 60kg)</t>
  </si>
  <si>
    <t>SEVROLL tlmič dorazu Mini SV-60</t>
  </si>
  <si>
    <t>SEVROLL těsnění na sklo 18/8mm symetrické</t>
  </si>
  <si>
    <t>SEVROLL tesnenie na sklo 18/8mm symetrické</t>
  </si>
  <si>
    <t>SEVROLL těsnění na sklo 18/4mm symetrické</t>
  </si>
  <si>
    <t>SEVROLL tesnenie na sklo 18/4mm symetrické</t>
  </si>
  <si>
    <t>SEVROLL těsnění na sklo 10/6,4mm</t>
  </si>
  <si>
    <t>SEVROLL tesnenie na sklo 10/6,4mm</t>
  </si>
  <si>
    <t>SEVROLL těsnění na sklo 10/4mm 114m</t>
  </si>
  <si>
    <t>SEVROLL System 10 II úchytová lišta 2,7m zlatá</t>
  </si>
  <si>
    <t>SEVROLL System 10 II úch.lišta 2,7m zlatá</t>
  </si>
  <si>
    <t>SEVROLL Symetric sada kování pro 2 křídla</t>
  </si>
  <si>
    <t>SEVROLL Symetric sada kovania pre 2 krídla</t>
  </si>
  <si>
    <t>SEVROLL stěnová příchytka profilu Single</t>
  </si>
  <si>
    <t>SEVROLL stenová príchytka profilu Single</t>
  </si>
  <si>
    <t>SEVROLL Star úchytová lišta 2,7m stříbrná</t>
  </si>
  <si>
    <t>SEVROLL Star úchytová lišta 2,7m strieborná</t>
  </si>
  <si>
    <t>SEVROLL Star úchytová lišta 2,7m oliva</t>
  </si>
  <si>
    <t>SEVROLL spojovací lišta T04 3m stříbrná</t>
  </si>
  <si>
    <t>SEVROLL spojovacia lišta T04 3m strieborná</t>
  </si>
  <si>
    <t>SEVROLL spojovací lišta H30 3m bílá lesk</t>
  </si>
  <si>
    <t>SEVROLL spojovacia lišta H30 3m RAL9003 lesk</t>
  </si>
  <si>
    <t>SEVROLL spojovací lišta H18 3m zlatá</t>
  </si>
  <si>
    <t>SEVROLL spojovacia lišta H18 3m zlatá</t>
  </si>
  <si>
    <t>SEVROLL spojovací lišta H18 3m oliva tmavá kartáčovaná</t>
  </si>
  <si>
    <t>SEVROLL spoj.lišta H18 3m oliva tm.kartáč</t>
  </si>
  <si>
    <t>SEVROLL spojovací lišta H10 Decor 3m oliva</t>
  </si>
  <si>
    <t>SEVROLL spojovacia lišta H10 Decor 3m oliva</t>
  </si>
  <si>
    <t>SEVROLL spojovací lišta H10 3m zlatá</t>
  </si>
  <si>
    <t>SEVROLL spojovací lišta H10 3m oliva tmavá kartáčovaná</t>
  </si>
  <si>
    <t>SEVROLL spoj.lišta H10 3m oliva tm.kartáč.</t>
  </si>
  <si>
    <t>SEVROLL spojovací lišta H08/18 3m oliva</t>
  </si>
  <si>
    <t>SEVROLL spojovacia lišta H08/18 3m oliva</t>
  </si>
  <si>
    <t>SEVROLL spojovací lišta H08/18 3m bílá mat</t>
  </si>
  <si>
    <t>SEVROLL spojov.lišta H08/18 3m RAL9003 mat</t>
  </si>
  <si>
    <t>SEVROLL spojovací lišta H04 3m oliva</t>
  </si>
  <si>
    <t>SEVROLL-SPOJOVACia LIŠTA H04 3M OLIVA</t>
  </si>
  <si>
    <t>SEVROLL spojovací krycí lišta 2,35m oliva tmavá kartáčovaná</t>
  </si>
  <si>
    <t>SEVROLL sp.kryc.lišta 2,35m oliva tm.kartáč</t>
  </si>
  <si>
    <t>SEVROLL spodní vozík WD 18C HI-TEC</t>
  </si>
  <si>
    <t>SEVROLL spodný vozík WD 18C HI-TEC</t>
  </si>
  <si>
    <t>SEVROLL spodní vozík Blue C rámový systém - 2ks</t>
  </si>
  <si>
    <t>SEVROLL spodní vozík Blue C bezrámový pro 18mm - 2ks</t>
  </si>
  <si>
    <t>SEVROLL spodní krycí lišta Simple/Blue 3m (pro lamino 10mm) oliva</t>
  </si>
  <si>
    <t>SEV-alsó takaró profil Simple/Blue 3m (10mm) oliva</t>
  </si>
  <si>
    <t>SEV-Listwa poz.dol.Simple/Blue 10 j.brąz-3,0m</t>
  </si>
  <si>
    <t>SEVROLL spod.krycia lišta Simple/Blue 3m(10mm)oliv</t>
  </si>
  <si>
    <t>SEVROLL spodní krycí lišta Simple/Blue 2m (pro lamino 10mm) oliva</t>
  </si>
  <si>
    <t>SEV-alsó takaró profil Simple/Blue 2m (10mm) oliva</t>
  </si>
  <si>
    <t>SEV-Listwa poz.dol.Simple/Blue10 j.brąz-2,00m</t>
  </si>
  <si>
    <t>SEVROLL spod.vod.lišta Simple/Blue 2m(10mm)oliva</t>
  </si>
  <si>
    <t>SEVROLL spodní krycí lišta Simple/Blue 2,5m (pro lamino 18mm) stříbrná</t>
  </si>
  <si>
    <t>SEVROLL spodná krycia lišta Simple/Blue 2,5m</t>
  </si>
  <si>
    <t>SEVROLL spodní krycí lišta Simple/Blue 2,5m (pro lamino 18mm) oliva</t>
  </si>
  <si>
    <t>SEVROLL spodní krycí lišta Simple/Blue 2,5m (pro lamino 10mm) stříbrná</t>
  </si>
  <si>
    <t>SEV-alsó takaró profil Simple/Blue 2,5m (10mm) ezüst</t>
  </si>
  <si>
    <t>SEV-Listwa poz.dol.Simple/Blue 10 sreb.-2,50m</t>
  </si>
  <si>
    <t>SEVROLL hor.vod.lišta Simple/Blue 2,5m(10mm)str.</t>
  </si>
  <si>
    <t>SEVROLL spodní krycí lišta Simple/Blue 2,5m (pro lamino 10mm) oliva</t>
  </si>
  <si>
    <t>SEV-alsó takaró profil Simple/Blue 2,5m (10mm) oliva</t>
  </si>
  <si>
    <t>SEV-Listwa poz.dol.Simple/Blue10 j.brąz-2,50m</t>
  </si>
  <si>
    <t>SEVROLL spod.vod.lišta Simple/Blue 2,5(10mm)oliva</t>
  </si>
  <si>
    <t>SEVROLL spodní krycí lišta Simple/Blue 1,5m (pro lamino 10mm) oliva</t>
  </si>
  <si>
    <t>SEV-alsó takaró profil Simple/Blue 1,5m (10mm) oliva</t>
  </si>
  <si>
    <t>SEV-Listwa poz.dol.Simple/Blue 10 j.brąz-1,50m</t>
  </si>
  <si>
    <t>SEVROLL hor.vod.lišta Simple/Blue 1,5m(10mm)oliva</t>
  </si>
  <si>
    <t>SEVROLL spodní krycí lišta 3m zlatá</t>
  </si>
  <si>
    <t>SEVROLL spodná krycia lišta 3m zlatá</t>
  </si>
  <si>
    <t>SEVROLL spodní krycí lišta 3m oliva tmavá kartáčovaná</t>
  </si>
  <si>
    <t>SEVROLL spod.krycia lišta 3m oliva tm.kartáč</t>
  </si>
  <si>
    <t>SEVROLL spodní krycí lišta 2,35m zlatá</t>
  </si>
  <si>
    <t>SEVROLL spodná krycia lišta 2,35m zlatá</t>
  </si>
  <si>
    <t>SEVROLL spodní krycí lišta 1,7m zlatá</t>
  </si>
  <si>
    <t>SEVROLL spodná krycia lišta 1,7m zlatá</t>
  </si>
  <si>
    <t>SEVROLL spodní krycí lišta 1,7m oliva tmavá kartáčovaná</t>
  </si>
  <si>
    <t>SEVROLL sp.krycia lišta 1,7m oliva tm.kartáč</t>
  </si>
  <si>
    <t>SEVROLL spodní krycí lišta 1,7m černá kartáčovaná</t>
  </si>
  <si>
    <t>SEVROLL spod.krycia lišta 1,7m čierna kartáč</t>
  </si>
  <si>
    <t>SEVROLL Smart spodní vedení 3m oliva</t>
  </si>
  <si>
    <t>SEVROLL Smart spodní vedení 2,35m oliva</t>
  </si>
  <si>
    <t>SEVROLL Smart spodní vedení 1,7m oliva</t>
  </si>
  <si>
    <t>SEVROLL Slim Line II rámová lišta 2,7m stříbrná</t>
  </si>
  <si>
    <t>SEVROLL Slim Line II rámová lišt.2,7m str.</t>
  </si>
  <si>
    <t>SEVROLL Single horní vedení 6m stříbrná</t>
  </si>
  <si>
    <t>SEVROLL Single horné vedenie 6m strieb</t>
  </si>
  <si>
    <t>SEVROLL Single horní vedení 3m oliva</t>
  </si>
  <si>
    <t>SEVROLL Single horné vedenie 3m oliva</t>
  </si>
  <si>
    <t>SEVROLL Single horní vedení 2,35m oliva</t>
  </si>
  <si>
    <t>SEVROLL Single horné vedenie 2,35m oliva</t>
  </si>
  <si>
    <t>SEVROLL Single horní vedení 1,7m oliva</t>
  </si>
  <si>
    <t>SEVROLL Single horné vedenie 1,7m oliva</t>
  </si>
  <si>
    <t>SEVROLL Simple šablona pro vozíky pro lamino 18mm</t>
  </si>
  <si>
    <t>SEVROLL Simple šablóna pre vozíky DTD 18mm</t>
  </si>
  <si>
    <t>SEVROLL Simple spodní vedení 6m oliva</t>
  </si>
  <si>
    <t>SEVROLL spodné vedenie Simple 6m oliva</t>
  </si>
  <si>
    <t>SEVROLL Simple spodní vedení 4m oliva</t>
  </si>
  <si>
    <t>SEVROLL spodné vedenie Simple 4m oliva</t>
  </si>
  <si>
    <t>SEVROLL Simple spodní vedení 3m oliva</t>
  </si>
  <si>
    <t>SEVROLL spodné vedenie Simple 3m oliva</t>
  </si>
  <si>
    <t>SEVROLL Simple spodní vedení 2m oliva</t>
  </si>
  <si>
    <t>SEVROLL spodné vedenie Simple 2m oliva</t>
  </si>
  <si>
    <t>SEVROLL Simple spodní vedení 2,5m stříbrná</t>
  </si>
  <si>
    <t>SEVROLL spodné vedenie Simple 2,5m strieborn</t>
  </si>
  <si>
    <t>SEVROLL Simple spodní vedení 2,5m oliva</t>
  </si>
  <si>
    <t>SEVROLL spodné vedenie Simple 2,5m oliva</t>
  </si>
  <si>
    <t>SEVROLL Simple spodní vedení 1,5m oliva</t>
  </si>
  <si>
    <t>SEVROLL spodné vedenie Simple 1,5m oliva</t>
  </si>
  <si>
    <t>SEVROLL Simple horní vedení 6m oliva</t>
  </si>
  <si>
    <t>SEVROLL horné vedenie Simple 6m oliva</t>
  </si>
  <si>
    <t>SEVROLL Simple horní vedení 4m oliva</t>
  </si>
  <si>
    <t>SEVROLL horné vedenie Simple 4m oliva</t>
  </si>
  <si>
    <t>SEVROLL Simple horní vedení 3m oliva</t>
  </si>
  <si>
    <t>SEVROLL horné vedenie Simple 3m oliva</t>
  </si>
  <si>
    <t>SEVROLL Simple horní vedení 2m oliva</t>
  </si>
  <si>
    <t>SEVROLL horné vedenie Simple 2m oliva</t>
  </si>
  <si>
    <t>SEVROLL Simple horní vedení 2,5m stříbrná</t>
  </si>
  <si>
    <t>SEVROLL horné vedenie Simple 2,5m striebor.</t>
  </si>
  <si>
    <t>SEVROLL Simple horní vedení 2,5m oliva</t>
  </si>
  <si>
    <t>SEVROLL horné vedenie Simple 2,5m oliva</t>
  </si>
  <si>
    <t>SEVROLL Simple horní vedení 1,5m oliva</t>
  </si>
  <si>
    <t>SEVROLL horné vedenie Simple 1,5m oliva</t>
  </si>
  <si>
    <t>SEVROLL Secret Line II rámová lišta 2,7m stříbrná</t>
  </si>
  <si>
    <t>SEVROLL Secret Line II rámová lišt.2,7m str</t>
  </si>
  <si>
    <t>SEVROLL Romeo II úchytová lišta 2,7m zlatá</t>
  </si>
  <si>
    <t>SEVROLL Rex úchytová lišta 2,7m oliva</t>
  </si>
  <si>
    <t>SEVROLL Prosper II úchytová lišta 2,7m oliva</t>
  </si>
  <si>
    <t>SEVROLL Prosper II úch lišta 2 7m oliva</t>
  </si>
  <si>
    <t>SEVROLL profil "U" pro lamino 36mm stříbrná 3m</t>
  </si>
  <si>
    <t>SEVROLL profil "U"na DTD 36mm str.3m</t>
  </si>
  <si>
    <t>SEVROLL profil "U" pro lamino 36mm 3m oliva</t>
  </si>
  <si>
    <t>SEVROLL profil "U" na DTD 36mm oliva 3m</t>
  </si>
  <si>
    <t>SEVROLL profil "U" pro lamino 18mm 3m zlatá</t>
  </si>
  <si>
    <t>SEVROLL profil "U" pro lamino 18mm 3m bílá lesk</t>
  </si>
  <si>
    <t>SEV-profil "U" FFL 18mm 3m fehér fényes</t>
  </si>
  <si>
    <t>SEVROLL profil "U" pro lamino 16mm 3m stříbrný</t>
  </si>
  <si>
    <t>SEVROLL profil "U" DTD 16mm 3m str</t>
  </si>
  <si>
    <t>SEVROLL profil "U" pro lamino 10mm 3m stříbrná</t>
  </si>
  <si>
    <t>SEVROLL profil "U" pro lamino 10mm 2m stříbrná</t>
  </si>
  <si>
    <t>SEVROLL profil "U" Mini pro lamino 18mm 3m stříbrná</t>
  </si>
  <si>
    <t>SEVROLL profil "U" Mini na DTD 18mm str. 3m</t>
  </si>
  <si>
    <t>SEVROLL profil "U" Mini pro lamino 18mm 3m oliva</t>
  </si>
  <si>
    <t>SEVROLL profil "U" Mini na DTD 18mm oliva 3m</t>
  </si>
  <si>
    <t>SEVROLL profil "U" Decor pro lamino 16mm 3m stříbrný</t>
  </si>
  <si>
    <t>SEVROLL profil "U" Decor DTD 16mm 3m str.</t>
  </si>
  <si>
    <t>SEVROLL profil "U" Decor 18mm 3m oliva</t>
  </si>
  <si>
    <t>SEVROLL profil "U" 18mm 3m oliva tmavá kartáčovaná</t>
  </si>
  <si>
    <t>SEVROLL profil "U" 18mm 3m oliva tm.kartáč</t>
  </si>
  <si>
    <t>SEVROLL profil "U" 18mm 3m oliva kartáčovaná</t>
  </si>
  <si>
    <t>SEVROLL profil "U" 18mm 3m oliva kartáč</t>
  </si>
  <si>
    <t>SEVROLL profil "U" 18mm 3m černá kartáčovaná</t>
  </si>
  <si>
    <t>SEVROLL profil "U" 18mm 3m čierna kartáč.</t>
  </si>
  <si>
    <t>SEVROLL Prince sada kování pro skládací dveře 1200mm stříbrná</t>
  </si>
  <si>
    <t>SEVROLL Prince sada kov.sklad.dv.1200mm str.</t>
  </si>
  <si>
    <t>SEVROLL Prince 02 úchytová lišta 2,7m stříbrná</t>
  </si>
  <si>
    <t>SEVROLL Price 02 úchytová lišta 2,7 m strieb</t>
  </si>
  <si>
    <t>SEVROLL Prince 01 úchytová lišta 2,7m stříbrná</t>
  </si>
  <si>
    <t>SEVROLL-ÚCH.LIŠTA PRINCE 01 2,7M STR.</t>
  </si>
  <si>
    <t>SEVROLL pozicionér Simple Start</t>
  </si>
  <si>
    <t>SEVROLL Porto úchytová lišta 2,7m stříbrná</t>
  </si>
  <si>
    <t>SEVROLL Porto úchytová lišta 2,7m strieborn</t>
  </si>
  <si>
    <t>SEVROLL Porto úchytová lišta 2,7m oliva</t>
  </si>
  <si>
    <t>SEVROLL Polo úchytová lišta 10mm 2,70m oliva</t>
  </si>
  <si>
    <t>SEVROLL Polo úchytová lišta 10mm 2,7m oliva</t>
  </si>
  <si>
    <t>SEVROLL Polo úchytová lišta 10mm 2,5m stříbrná</t>
  </si>
  <si>
    <t>SEVROLL Polo úchytová lišta 10mm 2,5m strie</t>
  </si>
  <si>
    <t>SEVROLL Polo úchytová lišta 10mm 2,5m oliva</t>
  </si>
  <si>
    <t>SEVROLL Pax záslepka profilu (4 ks) bílá lesk</t>
  </si>
  <si>
    <t>SEVROLL Pax záslepka profilu 4 ks RAL9003</t>
  </si>
  <si>
    <t>SEVROLL Pax úchytová lišta 3m stříbrná</t>
  </si>
  <si>
    <t>SEVROLL Pax úchytová lišta 3m strieborná</t>
  </si>
  <si>
    <t>SEVROLL Pax úchytová lišta 3m bílá lesk</t>
  </si>
  <si>
    <t>SEVROLL Pax úchytová lišta 3m RAL9003 lesk</t>
  </si>
  <si>
    <t>SEVROLL Pax úchytová lišta 2,7m bílá lesk</t>
  </si>
  <si>
    <t>SEVROLL Pax úchytová lišta 2,7m RAL9003 lesk</t>
  </si>
  <si>
    <t>SEVROLL Pax spodní krycí lišta 3m bílá lesk</t>
  </si>
  <si>
    <t>SEVROLL Pax spod.krycia lišta 3m RAL9003 les</t>
  </si>
  <si>
    <t>SEVROLL Pax nalepovací úchytka transparentní</t>
  </si>
  <si>
    <t>SEVROLL Pax horní vodící lišta 3m bílá lesk</t>
  </si>
  <si>
    <t>SEVROLL Pax horná vod.lišta 3m RAL9003 lesk</t>
  </si>
  <si>
    <t>SEVROLL PAX distanční profil 04 3m stříbrná</t>
  </si>
  <si>
    <t>SEVROLL Optima spodní vedení 6m surová</t>
  </si>
  <si>
    <t>SEVROLL Optima spodné vedenie 6m surová</t>
  </si>
  <si>
    <t>SEVROLL Optima spodní vedení 2m surová</t>
  </si>
  <si>
    <t>SEVROLL Optima spodné vedenie 2m surová</t>
  </si>
  <si>
    <t>SEVROLL Optima spodní vedení 2,4m surová</t>
  </si>
  <si>
    <t>SEVROLL Optima spodné vedenie 2,4m surová</t>
  </si>
  <si>
    <t>SEVROLL Optima sada tlumičů L+P</t>
  </si>
  <si>
    <t>SEVROLL Optima sada tlmičov P+L</t>
  </si>
  <si>
    <t>SEVROLL Optima II sada kování (dvoje dveře)</t>
  </si>
  <si>
    <t>SEVROLL Optima horní vedení 6m stříbrná</t>
  </si>
  <si>
    <t>SEVROLL Optima horné vedenie 6m strieb</t>
  </si>
  <si>
    <t>SEVROLL Optima horní vedení 2m stříbrná</t>
  </si>
  <si>
    <t>SEVROLL Optima horné vedenie 2m strieborná</t>
  </si>
  <si>
    <t>SEVROLL Optima horní vedení 2,4m stříbrná</t>
  </si>
  <si>
    <t>SEVROLL Optima horné vedenie 2,4m strieborná</t>
  </si>
  <si>
    <t>SEVROLL Optima 18 úchytová lišta 2,4m stříbrná</t>
  </si>
  <si>
    <t>SEVROLL Optima 18 úchytová lišta 2,4m strieb</t>
  </si>
  <si>
    <t>SEVROLL Optima 16 úchytová lišta 2,4m stříbrná</t>
  </si>
  <si>
    <t>SEVROLL Optima 16 úchytová lišta 2,4m strieb</t>
  </si>
  <si>
    <t>SEVROLL okrasná lišta S18 s lepidlem 3m stříbrná</t>
  </si>
  <si>
    <t>SEVROLL okrasná lišta S18 s lepidlom 3m str</t>
  </si>
  <si>
    <t>SEVROLL okrasná lišta S18 s lepidlem 3m oliva</t>
  </si>
  <si>
    <t>SEVROLL okrasná lišta S18 s lepidlom 3m oliv</t>
  </si>
  <si>
    <t>SEVROLL okrasná lišta S18 s lepidlem 3m bílá lesk</t>
  </si>
  <si>
    <t>SEV-dísz léc S18 ragasztóval 3m fehér fényes</t>
  </si>
  <si>
    <t>SEVROLL oboustranná lepící páska 50mm 10m</t>
  </si>
  <si>
    <t>SEVROLL obojstranná lepiaca páska 50mm 10</t>
  </si>
  <si>
    <t>SEVROLL Oaza II úchytová lišta 2,7m zlatá</t>
  </si>
  <si>
    <t>SEVROLL montážní přípravek pro lamino 10mm velký</t>
  </si>
  <si>
    <t>SEVROLL montážní přípravek pro Eden/Pax</t>
  </si>
  <si>
    <t>SEVROLL Minicomfort II úchytová lišta 2,7m oliva</t>
  </si>
  <si>
    <t>SEVROLL Minicomfort II úchytová lišta 2,7m o</t>
  </si>
  <si>
    <t>SEVROLL Micra horní/spodní vedení 2,35m oliva</t>
  </si>
  <si>
    <t>SEVROLL Micra horní/spodní vedení 1,7m oliva</t>
  </si>
  <si>
    <t>SEVROLL MDF vložka pro krycí lištu 2,8m</t>
  </si>
  <si>
    <t>SEVROLL Maxim vodící lišta 6m stříbrná</t>
  </si>
  <si>
    <t>SEVROLL Maxim vodící lišta 4,3m oliva</t>
  </si>
  <si>
    <t>SEVROLL Maxim vod.lišta 4,3m oliva</t>
  </si>
  <si>
    <t>SEVROLL Maxim vodící lišta 3,5m oliva</t>
  </si>
  <si>
    <t>SEVROLL Maxim vod.lišta 3,5m oliva</t>
  </si>
  <si>
    <t>SEVROLL Maxim vodící lišta 2,5m oliva</t>
  </si>
  <si>
    <t>SEVROLL Maxim vod.lišta 2,5m oliva</t>
  </si>
  <si>
    <t>SEVROLL Maxim vodící lišta 1,8m stříbrná</t>
  </si>
  <si>
    <t>SEVROLL Maxim spojovací lišta H25 2,5m oliva</t>
  </si>
  <si>
    <t>SEVROLL Maxim spojovacia lišta H25 2,5m oliv</t>
  </si>
  <si>
    <t>SEVROLL Maxim spojovací lišta H25 1,8m stříbrná</t>
  </si>
  <si>
    <t>SEVROLL Maxim spojovacia lišta H25 1,8m str.</t>
  </si>
  <si>
    <t>SEVROLL Maxim spojovací lišta H25 1,8m oliva</t>
  </si>
  <si>
    <t>SEVROLL Maxim spojovacia lišta H25 1,8m oliv</t>
  </si>
  <si>
    <t>SEVROLL Maxim spojovací lišta H18 2,5m oliva</t>
  </si>
  <si>
    <t>SEVROLL Maxim spojovacia lišta H18 2,5m oliv</t>
  </si>
  <si>
    <t>SEVROLL Maxim spojovací lišta H18 1,8m stříbrná</t>
  </si>
  <si>
    <t>SEVROLL Maxim spojovací lišta H18 1,8m oliva</t>
  </si>
  <si>
    <t>SEVROLL Maxim spojovacia lišta H18 1,8m oliv</t>
  </si>
  <si>
    <t>SEVROLL Maxim spodní krycí lišta 6m stříbrná</t>
  </si>
  <si>
    <t>SEVROLL Maxim spod.krycia lišta 6m strieborn</t>
  </si>
  <si>
    <t>SEVROLL Maxim spodní krycí lišta 4,3m oliva</t>
  </si>
  <si>
    <t>SEVROLL Maxim spod.krycia lišta 4,3m oliva</t>
  </si>
  <si>
    <t>SEVROLL Maxim spodní krycí lišta 3,5m oliva</t>
  </si>
  <si>
    <t>SEVROLL Maxim spod.krycia lišta 3,5m oliva</t>
  </si>
  <si>
    <t>SEVROLL Maxim spodní krycí lišta 2,5m oliva</t>
  </si>
  <si>
    <t>SEVROLL Maxim spod.krycí lišta 2,5m oliva</t>
  </si>
  <si>
    <t>SEVROLL Maxim spodní krycí lišta 1,8m stříbrná</t>
  </si>
  <si>
    <t>SEVROLL Maxim spod.krycia lišta 1,8m strieborná</t>
  </si>
  <si>
    <t>SEVROLL Maxim II spodní vedení 6m stříbrná</t>
  </si>
  <si>
    <t>SEVROLL Maxim II spodní vedení 4,3m oliva</t>
  </si>
  <si>
    <t>SEVROLL Maxim II spodné vedenie 4,3m oliva</t>
  </si>
  <si>
    <t>SEVROLL Maxim II spodní vedení 3,5m oliva</t>
  </si>
  <si>
    <t>SEVROLL Maxim II spodné vedenie 3,5m oliva</t>
  </si>
  <si>
    <t>SEVROLL Maxim II spodní vedení 2,5m oliva</t>
  </si>
  <si>
    <t>SEVROLL Maxim II spodné vedenie 2,5m oliva</t>
  </si>
  <si>
    <t>SEVROLL Maxim II spodní vedení 1,8m stříbrná</t>
  </si>
  <si>
    <t>SEVROLL Maxim II maska 6m stříbrná</t>
  </si>
  <si>
    <t>SEVROLL-MAXIM II MASKA 6 M strieborná</t>
  </si>
  <si>
    <t>SEVROLL Maxim II maska 4,3m oliva</t>
  </si>
  <si>
    <t>SEVROLL Maxim II maska 3,5m oliva</t>
  </si>
  <si>
    <t>SEVROLL Maxim II maska 2,5m oliva</t>
  </si>
  <si>
    <t>SEVROLL Maxim II maska 1,8m stříbrná</t>
  </si>
  <si>
    <t>SEVROLL-MAXIM II MASKA 1,8 M strieborná</t>
  </si>
  <si>
    <t>SEVROLL Maxim horní vedení 6m stříbrná</t>
  </si>
  <si>
    <t>SEVROLL Maxim horné vedenie 6m strieborná</t>
  </si>
  <si>
    <t>SEVROLL Maxim horní vedení 4,3m oliva</t>
  </si>
  <si>
    <t>SEVROLL Maxim horné vedenie 4,3m oliva</t>
  </si>
  <si>
    <t>SEVROLL Maxim horní vedení 3,5m oliva</t>
  </si>
  <si>
    <t>SEVROLL Maxim horné vedenie 3,5m oliva</t>
  </si>
  <si>
    <t>SEVROLL Maxim horní vedení 2,5m oliva</t>
  </si>
  <si>
    <t>SEVROLL Maxim horné vedenie 2,5m oliva</t>
  </si>
  <si>
    <t>SEVROLL Maxim horní vedení 1,8m stříbrná</t>
  </si>
  <si>
    <t>SEVROLL Master úchytová lišta 3m oliva</t>
  </si>
  <si>
    <t>SEVROLL Master úchytová lišta 2,7m stříbrná</t>
  </si>
  <si>
    <t>SEVROLL Master úchytová lišta 2,7m striebor</t>
  </si>
  <si>
    <t>SEVROLL Master úchytová lišta 2,7m oliva</t>
  </si>
  <si>
    <t>SEVROLL maska Prestige 6m stříbrná</t>
  </si>
  <si>
    <t>SEVROLL maska Prestige 6m strieborná</t>
  </si>
  <si>
    <t>SEVROLL maska Elegant II 6m zlatá</t>
  </si>
  <si>
    <t>SEVROLL maska Elegant II 6m oliva tmavá kartáčovaná</t>
  </si>
  <si>
    <t>SEV-zaślepka Elegant II 6m - koniak szczot.</t>
  </si>
  <si>
    <t>SEVROLL maska Elegant II 6m oliva kartáčovaná</t>
  </si>
  <si>
    <t>SEV-zaślepka Elegant II 6m j.brąz szczot.</t>
  </si>
  <si>
    <t>SEVROLL maska Elegant II 6m černá kartáčovaná</t>
  </si>
  <si>
    <t>SEV-zaślepka Elegant II 6m - czarny szczot.</t>
  </si>
  <si>
    <t>SEVROLL maska Elegant II 6m bílá lesk</t>
  </si>
  <si>
    <t>SEV- zaślepka Elegant II 6m biały błyszcz.</t>
  </si>
  <si>
    <t>SEVROLL maska Elegant II 4,05m zlatá</t>
  </si>
  <si>
    <t>SEVROLL maska Elegant II 4,05m oliva tmavá kartáčovaná</t>
  </si>
  <si>
    <t>SEV-zaślepka Elegant II 4,05m j.brąz szczot.</t>
  </si>
  <si>
    <t>SEVROLL maska Elegant II 3m zlatá</t>
  </si>
  <si>
    <t>SEVROLL maska Elegant II 3m oliva tmavá kartáčovaná</t>
  </si>
  <si>
    <t>SEV-zaślepka Elegant II 3m koniak szczot.</t>
  </si>
  <si>
    <t>SEVROLL maska Elegant II 2,35m zlatá</t>
  </si>
  <si>
    <t>SEVROLL maska Elegant II 2,35m oliva tmavá kartáčovaná</t>
  </si>
  <si>
    <t>SEV-zaślepka Elegant II 2,35m koniak szczot.</t>
  </si>
  <si>
    <t>SEVROLL maska Elegant II 1,7m zlatá</t>
  </si>
  <si>
    <t>SEVROLL maska Elegant II 1,7m oliva tmavá kartáčovaná</t>
  </si>
  <si>
    <t>SEV-zaślepka Elegant II 1,7m koniak szczot.</t>
  </si>
  <si>
    <t>SEVROLL maska Elegant II 1,7m černá kartáčovaná</t>
  </si>
  <si>
    <t>SEV-zaślepka Elegant II 1,7m - czarny szczotk.</t>
  </si>
  <si>
    <t>SEVROLL maska 4,05m - převedeno na 89092</t>
  </si>
  <si>
    <t>SEVROLL maska 4,05m-prevedené na 89092</t>
  </si>
  <si>
    <t>SEVROLL maska 3m - převedeno na 89180</t>
  </si>
  <si>
    <t>SEVROLL maska 3m-prevedené na 89180</t>
  </si>
  <si>
    <t>SEVROLL maska 2,35m - převedeno na 89177</t>
  </si>
  <si>
    <t>SEVROLL maska 2,35-prevedená na 89177</t>
  </si>
  <si>
    <t>SEVROLL Line spodní vedení 2m alu surová</t>
  </si>
  <si>
    <t>SEVROLL Line spodné vedenie 2m alu surová</t>
  </si>
  <si>
    <t>SEVROLL Line sada kování pro 2 křídla pravá</t>
  </si>
  <si>
    <t>SEVROLL Line sada kovania pre 2krídla- pravá</t>
  </si>
  <si>
    <t>SEVROLL Line sada kování pro 2 křídla levá</t>
  </si>
  <si>
    <t>SEVROLL Line sada kovania pre 2 krídla-ľavá</t>
  </si>
  <si>
    <t>SEVROLL Line horní vedení 2m alu surová</t>
  </si>
  <si>
    <t>SEVROLL Line horné vedenie 2m alu surová</t>
  </si>
  <si>
    <t>SEVROLL Libra úchytová lišta 18mm 2,70m oliva</t>
  </si>
  <si>
    <t>SEVROLL Libra úch.lišta 18mm 2,7m oliva</t>
  </si>
  <si>
    <t>SEVROLL Libra úchytová lišta 18mm 2,5m stříbrná</t>
  </si>
  <si>
    <t>SEVROLL Libra úchytová lišta 18mm 2,5m stri</t>
  </si>
  <si>
    <t>SEVROLL Libra úchytová lišta 18mm 2,5m oliva</t>
  </si>
  <si>
    <t>SEVROLL Libra úchytová lišta 18mm 2,5m oliv</t>
  </si>
  <si>
    <t>SEVROLL krycí profil Galaxy 6m</t>
  </si>
  <si>
    <t>SEVROLL krycí profil Galaxy 1,5m stříbrný</t>
  </si>
  <si>
    <t>SEVROLL krycí lišta Herkules Glass 2m stříbrná</t>
  </si>
  <si>
    <t>SEVROLL krycia lišta Herkules Glass 2m strie</t>
  </si>
  <si>
    <t>SEVROLL Karat úchytová lišta 2,7m oliva</t>
  </si>
  <si>
    <t>SEVROLL karat úchytová lišta 2,7m oliva</t>
  </si>
  <si>
    <t>SEVROLL Julia II úchytová lišta 2,7m zlatá</t>
  </si>
  <si>
    <t>SEVROLL Julia II úch.lišta 2,7m zlatá</t>
  </si>
  <si>
    <t>SEVROLL Idea sada kování pro vnitřní dveře 50kg</t>
  </si>
  <si>
    <t>SEVROLL Idea sada kovania pre vnútorné dvere</t>
  </si>
  <si>
    <t>SEVROLL Idea sada kování pro dvoje dveře 50kg</t>
  </si>
  <si>
    <t>SEV-Idea vasalat szett két ajtóra 50kg</t>
  </si>
  <si>
    <t>SEVROLL Idea sada kovania pre dvoje dvere</t>
  </si>
  <si>
    <t>SEVROLL Idea horní/spodní vedení 6m stříbrná</t>
  </si>
  <si>
    <t>SEVROLL Idea horné/spodné vedenie 6m str.</t>
  </si>
  <si>
    <t>SEVROLL Idea horní/spodní vedení 3m stříbrná</t>
  </si>
  <si>
    <t>SEVROLL Idea horné/spodné vedenie 3m str.</t>
  </si>
  <si>
    <t>SEVROLL Idea horní/spodní vedení 2m stříbrná</t>
  </si>
  <si>
    <t>SEVROLL Idea horné/spodné vedenie 2m str.</t>
  </si>
  <si>
    <t>SEVROLL horní vozík WPFc Duo</t>
  </si>
  <si>
    <t>SEVROLL horný vozík WPFc Duo</t>
  </si>
  <si>
    <t>SEVROLL horní vodící lišta Simple/Blue 3m (pro lamino 10mm) oliva</t>
  </si>
  <si>
    <t>SEV-felső sín Simple/Blue 3m (10mm) oliva</t>
  </si>
  <si>
    <t>SEV-Listwa poz.gór/łąc-Simple/Blue 10 j.brąz-3m</t>
  </si>
  <si>
    <t>SEVROLL horná vod.lišta Simple/Blue 3m(10mm)oliva</t>
  </si>
  <si>
    <t>SEVROLL horní vodící lišta Simple/Blue 2m (pro lamino 10mm) oliva</t>
  </si>
  <si>
    <t>SEV-felső sín Simple/Blue 2m (10mm) oliva</t>
  </si>
  <si>
    <t>SEV-Listwa poz.gór/łąc-Simple/Blue 10 j.brąz-2m</t>
  </si>
  <si>
    <t>SEVROLL hor.vod.lišta Simple/Blue 2m(10mm)oliva</t>
  </si>
  <si>
    <t>SEVROLL horní vodící lišta Simple/Blue 2,5m (pro lamino 18mm) stříbrná</t>
  </si>
  <si>
    <t>SEVROLL horná vodiaca lišta Simple/Blue 2,5m</t>
  </si>
  <si>
    <t>SEVROLL horní vodící lišta Simple/Blue 2,5m (pro lamino 18mm) oliva</t>
  </si>
  <si>
    <t>SEVROLL horní vodící lišta Simple/Blue 2,5m (pro lamino 10mm) stříbrná</t>
  </si>
  <si>
    <t>SEV-felső sín Simple/Blue 2,5m (10mm) ezüst</t>
  </si>
  <si>
    <t>SEV-Listwa poz.gór/łąc-Simple/Blue 10 sreb.-2,50m</t>
  </si>
  <si>
    <t>SEVROLL horní vodící lišta Simple/Blue 2,5m (pro lamino 10mm) oliva</t>
  </si>
  <si>
    <t>SEV-felső sín Simple/Blue 2,5m (10mm) oliva</t>
  </si>
  <si>
    <t>SEV-Listwa poz.gór/łąc-Simple/Blue 10 j.brąz-2,5m</t>
  </si>
  <si>
    <t>SEVROLL hor.vod.lišta Simple/Blue 2,5m(10mm)oliva</t>
  </si>
  <si>
    <t>SEVROLL horní vodící lišta Simple/Blue 1,5m (pro lamino 10mm) oliva</t>
  </si>
  <si>
    <t>SEV-felső sín Simple/Blue 1,5m (10mm) oliva</t>
  </si>
  <si>
    <t>SEV-Listwa poz.gór/łąc-Simple/Blue10 j.brąz-1,5m</t>
  </si>
  <si>
    <t>SEVROLL horní vodící lišta 3m zlatá</t>
  </si>
  <si>
    <t>SEVROLL horní vodící lišta 3m oliva tmavá kartáčovaná</t>
  </si>
  <si>
    <t>SEVROLL VODIACA LIŠTA 3M OLIVA TM. KARTÁČ.</t>
  </si>
  <si>
    <t>SEVROLL horní vodící lišta 2,35m zlatá</t>
  </si>
  <si>
    <t>SEVROLL horní vodící lišta 2,35m oliva tmavá kartáčovaná</t>
  </si>
  <si>
    <t>SEVROLL VODIACA LIŠTA 2,35M OLIVA TM. KARTÁ</t>
  </si>
  <si>
    <t>SEVROLL horní vodící lišta 1,7m oliva tmavá kartáčovaná</t>
  </si>
  <si>
    <t>SEVROLL VODIACA LIŠTA 1,7M OLIVA TM.KARTÁČ.</t>
  </si>
  <si>
    <t>SEVROLL horní vodící lišta 1,7m černá kartáčovaná</t>
  </si>
  <si>
    <t>SEVROLL VODIACA LIŠTA 1,7M čierna KARTÁČ.</t>
  </si>
  <si>
    <t>SEVROLL Hide N spodní vedení 6m stříbrné</t>
  </si>
  <si>
    <t>SEVROLL dolné vedenie Hide N 6m str.</t>
  </si>
  <si>
    <t>SEVROLL Hide N spodní vedení 6m oliva</t>
  </si>
  <si>
    <t>SEVROLL dolné vedenie Hide N 6m oliva</t>
  </si>
  <si>
    <t>SEVROLL Hide N spodní vedení 3m oliva</t>
  </si>
  <si>
    <t>SEVROLL Hide N spodní vedení 2,35m stříbrná</t>
  </si>
  <si>
    <t>SEVROLL Hide N spodní vedení 1,7m stříbrná</t>
  </si>
  <si>
    <t>SEVROLL dolné vedenie Hide N 1,7m str</t>
  </si>
  <si>
    <t>SEVROLL Hide M spodní vedení 6m stříbrná</t>
  </si>
  <si>
    <t>SEVROLL dolné vedenie Hide M 6m str.</t>
  </si>
  <si>
    <t>SEVROLL Hide M spodní vedení 3m oliva</t>
  </si>
  <si>
    <t>SEVROLL dolné vedenie Hide M 3m oliva</t>
  </si>
  <si>
    <t>SEVROLL Hide M spodní vedení 2,35m stříbrná</t>
  </si>
  <si>
    <t>SEVROLL dolné vedenie Hide M 2,35m str.</t>
  </si>
  <si>
    <t>SEVROLL Hide M spodní vedení 1,7m stříbrná</t>
  </si>
  <si>
    <t>SEVROLL dolné vedenie Hide M 1,7m str.</t>
  </si>
  <si>
    <t>SEVROLL Herkules tlumič 40 - 80kg</t>
  </si>
  <si>
    <t>SEVROLL Herkules tlmič 40-80kg</t>
  </si>
  <si>
    <t>SEVROLL Herkules sada kování 60kg 3m</t>
  </si>
  <si>
    <t>SEVROLL Herkules sada kovania60kg, 3m</t>
  </si>
  <si>
    <t>SEVROLL Herkules sada kování 60kg 2m</t>
  </si>
  <si>
    <t>SEVROLL Herkules sada kovania60kg, 2m</t>
  </si>
  <si>
    <t>SEVROLL Herkules sada kování 60kg 2,4m</t>
  </si>
  <si>
    <t>SEVROLL Herkules sada kovania60kg, 2,4m</t>
  </si>
  <si>
    <t>SEVROLL Herkules sada kování 60kg 1,8m</t>
  </si>
  <si>
    <t>SEVROLL Herkules sada kovania60kg, 1,8m</t>
  </si>
  <si>
    <t>SEVROLL Herkules sada kování 60kg 1,5m</t>
  </si>
  <si>
    <t>SEVROLL Herkules sada kovania60kg, 1,5m</t>
  </si>
  <si>
    <t>SEVROLL Herkules sada kování 60kg 1,2m</t>
  </si>
  <si>
    <t>SEVROLL Herkules sada kovania60kg, 1,2m</t>
  </si>
  <si>
    <t>SEVROLL Herkules sada kování 60kg</t>
  </si>
  <si>
    <t>SEVROLL Herkules sada kovania 60kg</t>
  </si>
  <si>
    <t>SEVROLL Herkules sada kování 120kg 3m</t>
  </si>
  <si>
    <t>SEVROLL Herkules sada kovania120kg, 3m</t>
  </si>
  <si>
    <t>SEVROLL Herkules sada kování 120kg 2m</t>
  </si>
  <si>
    <t>SEVROLL Herkules sada kovania120kg, 2m</t>
  </si>
  <si>
    <t>SEVROLL Herkules sada kování 120kg 2,4m</t>
  </si>
  <si>
    <t>SEVROLL Herkules sada kovania120kg, 2,4m</t>
  </si>
  <si>
    <t>SEVROLL Herkules sada kování 120kg 1,8m</t>
  </si>
  <si>
    <t>SEVROLL Herkules sada kovania120kg, 1,8m</t>
  </si>
  <si>
    <t>SEVROLL Herkules sada kování 120kg 1,5m</t>
  </si>
  <si>
    <t>SEVROLL Herkules sada kovania120kg, 1,5m</t>
  </si>
  <si>
    <t>SEVROLL Herkules sada kování 120kg 1,2m</t>
  </si>
  <si>
    <t>SEVROLL Herkules sada kovania120kg, 1,2m</t>
  </si>
  <si>
    <t>SEVROLL Herkules sada kování 120kg</t>
  </si>
  <si>
    <t>SEVROLL Herkules sada kovania 120kg</t>
  </si>
  <si>
    <t>SEVROLL Herkules plus horní vedení 6m alu</t>
  </si>
  <si>
    <t>SEVROLL Herkules plus horní vedení 4m alu</t>
  </si>
  <si>
    <t>SEVROLL Herkules Glass sada kování 100kg + 2m</t>
  </si>
  <si>
    <t>SEVROLL Herkules Glass sada kov.100kg + 2m</t>
  </si>
  <si>
    <t>SEVROLL Herkules Glass sada kování 100kg</t>
  </si>
  <si>
    <t>SEVROLL Herkules 2 horní vedení 6m alu</t>
  </si>
  <si>
    <t>SEVROLL horné vedenie Herkules 2 6m alu</t>
  </si>
  <si>
    <t>SEVROLL Herkules 2 horní vedení 4m alu</t>
  </si>
  <si>
    <t>SEVROLL horné vedenie Herkules 2 4m alu</t>
  </si>
  <si>
    <t>SEVROLL Herkules 2 horní vedení 3m alu</t>
  </si>
  <si>
    <t>SEVROLL horné vedenie Herkules 2 3m alu</t>
  </si>
  <si>
    <t>SEVROLL Herkules 2 horní vedení 2m alu</t>
  </si>
  <si>
    <t>SEVROLL horné vedenie Herkules 2 2m alu</t>
  </si>
  <si>
    <t>SEVROLL Herkules 2 horní vedení 1,8m alu</t>
  </si>
  <si>
    <t>SEVROLL horné vedenie Herkules 2 1,8m alu</t>
  </si>
  <si>
    <t>SEVROLL Herkules 2 horní vedení 1,5m alu</t>
  </si>
  <si>
    <t>SEVROLL horné vedenie Herkules 2 1,5m alu</t>
  </si>
  <si>
    <t>SEVROLL Herkules 2 horní vedení 1,2m alu</t>
  </si>
  <si>
    <t>SEVROLL horné vedenie Herkules 2 1,2m alu</t>
  </si>
  <si>
    <t>SEVROLL Gemini-2 úchytová lišta 2,7m zlatá</t>
  </si>
  <si>
    <t>SEVROLL Gemini Gemini-2 úchytová lišta 2,7m</t>
  </si>
  <si>
    <t>SEVROLL Gemini II spodní vedení 6m bílá lesk</t>
  </si>
  <si>
    <t>SEV-Gemini II alsó sín 6m fehér fényes</t>
  </si>
  <si>
    <t>SEVROLL Gemini spodné vedenie 6m biela lesk</t>
  </si>
  <si>
    <t>SEVROLL Gemini II spodní vedení 4,05m bílá lesk</t>
  </si>
  <si>
    <t>SEV-Gemini II alsó sín 4,05m fehér fényes</t>
  </si>
  <si>
    <t>SEVROLL Gemini spodné vedenie 4,05m biela le</t>
  </si>
  <si>
    <t>SEVROLL Gemini II spodní vedení 3m bílá lesk</t>
  </si>
  <si>
    <t>SEV-Gemini II alsó sín 3m fehér fényes</t>
  </si>
  <si>
    <t>SEVROLL Gemini spodné vedenie 3m biela lesk</t>
  </si>
  <si>
    <t>SEVROLL Gemini II spodní vedení 2,35m bílá lesk</t>
  </si>
  <si>
    <t>SEV-Gemini II alsó sín 2,35m fehér fényes</t>
  </si>
  <si>
    <t>SEVROLL Gemini spodné vedenie 2,35m biela le</t>
  </si>
  <si>
    <t>SEVROLL Gemini II spodní vedení 1,7m bílá lesk</t>
  </si>
  <si>
    <t>SEV-Gemini II alsó sín 1,7m fehér fényes</t>
  </si>
  <si>
    <t>SEVROLL Gemini spodné vedenie 1,7m biela les</t>
  </si>
  <si>
    <t>SEVROLL Gemini horní vedení 6m zlatá</t>
  </si>
  <si>
    <t>SEVROLL Gemini horné vedenie 6m zlatá</t>
  </si>
  <si>
    <t>SEVROLL Gemini horní vedení 6m oliva tmavá kartáčovaná</t>
  </si>
  <si>
    <t>SEVROLL Gemini horné vedenie 6m oliva tmavá</t>
  </si>
  <si>
    <t>SEVROLL Gemini horní vedení 6m oliva kartáčovaná</t>
  </si>
  <si>
    <t>SEVROLL Gemini horné vedenie 6m oliva kartáč</t>
  </si>
  <si>
    <t>SEVROLL Gemini horní vedení 6m černá kartáčovaná</t>
  </si>
  <si>
    <t>SEVROLL Gemini horné vedenie 6m čierna kartá</t>
  </si>
  <si>
    <t>SEVROLL Gemini horní vedení 6m bílá lesk</t>
  </si>
  <si>
    <t>SEVROLL Gemini horné vedenie 6m biela lesk</t>
  </si>
  <si>
    <t>SEVROLL Gemini horní vedení 4,05m zlatá</t>
  </si>
  <si>
    <t>SEVROLL Gemini horné vedenie 4,05m zlatá</t>
  </si>
  <si>
    <t>SEVROLL Gemini horní vedení 4,05m oliva tmavá kartáčovaná</t>
  </si>
  <si>
    <t>SEVROLL Gemini horné vedenie 4,05m oliva tma</t>
  </si>
  <si>
    <t>SEVROLL Gemini horní vedení 3m zlatá</t>
  </si>
  <si>
    <t>SEVROLL horné vedenie 3m zlatá</t>
  </si>
  <si>
    <t>SEVROLL Gemini horní vedení 3m oliva tmavá kartáčovaná</t>
  </si>
  <si>
    <t>SEVROLL Gemini horné vedenie 3m oliva tmavá</t>
  </si>
  <si>
    <t>SEVROLL Gemini horní vedení 2,35m zlatá</t>
  </si>
  <si>
    <t>SEVROLL horné vedenie 2,35m zlatá</t>
  </si>
  <si>
    <t>SEVROLL Gemini horní vedení 2,35m oliva tmavá kartáčovaná</t>
  </si>
  <si>
    <t>SEVROLL Gemini horné vedenie 2,35m oliva tma</t>
  </si>
  <si>
    <t>SEVROLL Gemini horní vedení 1,7m zlatá</t>
  </si>
  <si>
    <t>SEVROLL Gemini horné vedenie 1,7m zlatá</t>
  </si>
  <si>
    <t>SEVROLL Gemini horní vedení 1,7m oliva tmavá kartáčovaná</t>
  </si>
  <si>
    <t>SEVROLL Gemini horné vedenie 1,7m oliva tmav</t>
  </si>
  <si>
    <t>SEVROLL Gemini horní vedení 1,7m černá kartáčovaná</t>
  </si>
  <si>
    <t>SEVROLL Gemini horné vedenie 1,7m čierna kar</t>
  </si>
  <si>
    <t>SEVROLL Future II úchytová lišta 3,5m oliva</t>
  </si>
  <si>
    <t>SEVROLL Future II úchytová lišta 2,7m oliva</t>
  </si>
  <si>
    <t>SEVROLL Fox II úchytová lišta 2,7m zlatá</t>
  </si>
  <si>
    <t>SEVROLL Fox úch.lišta 2,7m zlatá</t>
  </si>
  <si>
    <t>SEVROLL Fox II úchytová lišta 2,7m oliva tmavá kartáčovaná</t>
  </si>
  <si>
    <t>SEVROLL Fox II úch.lišta 2,7m oliva tm.kartá</t>
  </si>
  <si>
    <t>SEVROLL folie 200-3028 (112350) 14,7m/4cm</t>
  </si>
  <si>
    <t>SEVROLL fólia 200-3028 (112350) 14,7m/4cm</t>
  </si>
  <si>
    <t>SEVROLL folie 200-3011 14,7m/4cm</t>
  </si>
  <si>
    <t>SEVROLL folie 200-2986 14,7m/4cm</t>
  </si>
  <si>
    <t>SEVROLL fólia 200-2986 14,7m/4cm</t>
  </si>
  <si>
    <t>SEVROLL folie 200-2905 14,7m/4cm</t>
  </si>
  <si>
    <t>SEVROLL fólia 200-2905, 14,7m/4cm</t>
  </si>
  <si>
    <t>SEVROLL folie 200-2875 14,7m/4cm</t>
  </si>
  <si>
    <t>SEVROLL fólia 200-2875, 14,7m/4cm</t>
  </si>
  <si>
    <t>SEVROLL folie 200-2660 14,7m/4cm</t>
  </si>
  <si>
    <t>SEVROLL fólia 200-2660 14,7m/4cm</t>
  </si>
  <si>
    <t>SEVROLL folie 200-2608 (112269) 14,7m/4cm</t>
  </si>
  <si>
    <t>SEVROLL fólia 200-2608 (112269) 14,7m/4cm</t>
  </si>
  <si>
    <t>SEVROLL folie 200-2234 14,7m/6cm</t>
  </si>
  <si>
    <t>SEVROLL fólia 200-2234 14,7m/6cm</t>
  </si>
  <si>
    <t>SEVROLL folie 200-2234 (112428) 14,7m/4cm</t>
  </si>
  <si>
    <t>SEVROLL fólia 200-2234 (112428) 14,7m/4cm</t>
  </si>
  <si>
    <t>SEVROLL folie 200-2230 14,7m/4cm</t>
  </si>
  <si>
    <t>SEVROLL fólia 200-2230 14,7m/4cm</t>
  </si>
  <si>
    <t>SEVROLL folie 200-2227 (111780) 14,7m/4cm</t>
  </si>
  <si>
    <t>SEVROLL fólia 200-2227 (111780) 14,7m/4cm</t>
  </si>
  <si>
    <t>SEVROLL folie 200-2227 (111339) 14,7m/4cm</t>
  </si>
  <si>
    <t>SEVROLL fólia 200-2227 (111339) 14,7m/4cm</t>
  </si>
  <si>
    <t>SEVROLL folie 200-1844 14,7m/4cm</t>
  </si>
  <si>
    <t>SEVROLL fólia 200-1844 14,7m/4cm</t>
  </si>
  <si>
    <t>SEVROLL folie 200-1700 (111230) 14,7m/4cm</t>
  </si>
  <si>
    <t>SEVROLL fólia 200-1700 (111230) 14,7m/4cm</t>
  </si>
  <si>
    <t>SEVROLL folie 200-1682 (111056) 14,7m/6cm</t>
  </si>
  <si>
    <t>SEVROLL fólia 200-1682 (111056) 14,7m/6cm</t>
  </si>
  <si>
    <t>SEVROLL folie 200-1317 (111766) 14,7m/4cm</t>
  </si>
  <si>
    <t>SEVROLL fólia 200-1317 (111766) 14,7m/4cm</t>
  </si>
  <si>
    <t>SEVROLL Focus II 18mm úchytová lišta 2,7m zlatá</t>
  </si>
  <si>
    <t>SEVROLL Focus II 18mm úchytová lišta 2,7m zl</t>
  </si>
  <si>
    <t>SEVROLL Focus II 16mm úchytová lišta 2,7m zlatá</t>
  </si>
  <si>
    <t>SEVROLL Focus II 16mm úchytová lišta 2,7m zl</t>
  </si>
  <si>
    <t>SEVROLL Focus II 16mm úchytová išta 2,7m oliva</t>
  </si>
  <si>
    <t>SEVROLL Focus II 16mm úch.lišta 2,7m oliva</t>
  </si>
  <si>
    <t>SEVROLL Focus 16mm úchytová lišta 2,7m stříbrná</t>
  </si>
  <si>
    <t>SEVROLL Focus 16mm úch.lišta 2,7m strieborná</t>
  </si>
  <si>
    <t>SEVROLL Focus 16mm úchytová lišta 2,7m oliva</t>
  </si>
  <si>
    <t>SEVROLL Focus 16mm úch.lišta 2,7m oliva</t>
  </si>
  <si>
    <t>SEVROLL First horní/spodní vedení 3m stříbrná</t>
  </si>
  <si>
    <t>SEVROLL First horní/spodní vedení 3m oliva</t>
  </si>
  <si>
    <t>SEVROLL First horní/spodní vedení 1,8m oliva</t>
  </si>
  <si>
    <t>SEVROLL First horní/spodní vedení 1,2m stříbrná</t>
  </si>
  <si>
    <t>SEVROLL First horné/spodné vedenie 1,2m str.</t>
  </si>
  <si>
    <t>SEVROLL First horní/spodní vedení 1,2m oliva</t>
  </si>
  <si>
    <t>SEVROLL First horné/spodné vedenie 1,2m oliv</t>
  </si>
  <si>
    <t>SEVROLL Fiesta 18 úchytová lišta 2,7m stříbrná</t>
  </si>
  <si>
    <t>SEVROLL Fiesta 18 úch.lišta 2,7m strieborná</t>
  </si>
  <si>
    <t>SEVROLL Fiesta 18 úchytová lišta 2,7m oliva</t>
  </si>
  <si>
    <t>SEVROLL Fiesta 18 úchytová lišta 2,7 oliva</t>
  </si>
  <si>
    <t>SEVROLL Fiesta 16 úchytová lišta 2,7m stříbrná</t>
  </si>
  <si>
    <t>SEVROLL Fiesta 16 úchytová lišta 2,70m strie</t>
  </si>
  <si>
    <t>SEVROLL Faworyt II úchytová lišta 2,7m oliva</t>
  </si>
  <si>
    <t>SEVROLL Faworyt II úchytová lišta 2,7m bílá mat</t>
  </si>
  <si>
    <t>SEVROLL Faworyt II úchytová liš.2,7m RAL9003</t>
  </si>
  <si>
    <t>SEVROLL Fala úchytová lišta 10mm 2,70m oliva</t>
  </si>
  <si>
    <t>SEVROLL Fala úchytová lišta 10mm 2,5m stříbrná</t>
  </si>
  <si>
    <t>SEVROLL Fala úchytová lišta 10mm 2,5m strie</t>
  </si>
  <si>
    <t>SEVROLL Fala úchytová lišta 10mm 2,5m oliva</t>
  </si>
  <si>
    <t>SEVROLL Factor 16 II úchytová lišta 2,7m stříbrná</t>
  </si>
  <si>
    <t>SEVROLL Factor 16 II-úchyt.lišta strieborná 2,7</t>
  </si>
  <si>
    <t>SEVROLL Factor 16 II úchytová lišta 2,7m oliva</t>
  </si>
  <si>
    <t>SEVROLL Factor 16 II-úchyt.lišta oliva 2,7m</t>
  </si>
  <si>
    <t>SEVROLL Exclusive sada kování ZPE-18</t>
  </si>
  <si>
    <t>SEVROLL Exclusive sada kovania ZPE18</t>
  </si>
  <si>
    <t>SEVROLL Exclusive sada kování ZPE-10</t>
  </si>
  <si>
    <t>SEVROLL Exclusive sada kovánia ZPE-10</t>
  </si>
  <si>
    <t>SEVROLL Exclusive horní vedení 3m stříbrná</t>
  </si>
  <si>
    <t>SEVROLL Exclusive horné vedenie 3m strieborn</t>
  </si>
  <si>
    <t>SEVROLL Exclusive horní vedení 3m oliva</t>
  </si>
  <si>
    <t>SEVROLL Exclusive horní vedení 3,6m stříbrná</t>
  </si>
  <si>
    <t>SEVROLL Exclusive horné vedenie 3,6m strieborná</t>
  </si>
  <si>
    <t>SEVROLL Exclusive horní vedení 1,8m stříbrná</t>
  </si>
  <si>
    <t>SEVROLL Exclusive horné vedenie 1,8m str.</t>
  </si>
  <si>
    <t>SEVROLL Exclusive horní vedení 1,8m oliva</t>
  </si>
  <si>
    <t>SEVROLL Exclusive horné vedenie 1,8m oliva</t>
  </si>
  <si>
    <t>SEVROLL Exclusive horní vedení 1,2m stříbrná</t>
  </si>
  <si>
    <t>SEVROLL Exclusive horní vedení 1,2m oliva</t>
  </si>
  <si>
    <t>SEVROLL Exclusive horné vedenie 1,2m oliva</t>
  </si>
  <si>
    <t>SEVROLL Exclusive brzda kulatá spodní</t>
  </si>
  <si>
    <t>SEVROLL Exclusive guľatý pozicionér</t>
  </si>
  <si>
    <t>SEVROLL Exclusive brzda gumová horní</t>
  </si>
  <si>
    <t>SEVROLL Exclusive brzda gumová (2ks)</t>
  </si>
  <si>
    <t>SEVROLL Everest vodící lišta 3m oliva</t>
  </si>
  <si>
    <t>SEVROLL Everest vodiaca lišta 3m oliva</t>
  </si>
  <si>
    <t>SEVROLL Ergo 16 úchytová lišta 2,7m stříbrná</t>
  </si>
  <si>
    <t>SEVROLL Ergo 16 úchytová lišta 2,7m striebor</t>
  </si>
  <si>
    <t>SEVROLL Elegant II spodní vedení 6m zlatá</t>
  </si>
  <si>
    <t>SEVROLL Elegant II spodní vedení 6m oliva tmavá kartáčovaná</t>
  </si>
  <si>
    <t>SEVROLL Elegant spod.ved. 6m oliva tm.kartáčovaná</t>
  </si>
  <si>
    <t>SEVROLL Elegant II spodní vedení 6m oliva kartáčovaná</t>
  </si>
  <si>
    <t>SEV-Tor dolny Elegant 6m j.brąz szczotk</t>
  </si>
  <si>
    <t>SEVROLL Elegant spod.vedenie 6m oliva kartáčovaná</t>
  </si>
  <si>
    <t>SEVROLL Elegant II spodní vedení 6m černá kartáčovaná</t>
  </si>
  <si>
    <t>SEVROLL Elegant spod.ved. 6m čierna kartáč.</t>
  </si>
  <si>
    <t>SEVROLL Elegant II spodní vedení 6m bílá lesk</t>
  </si>
  <si>
    <t>SEVROLL Elegant sp.ved.6m RAL9003 lesk</t>
  </si>
  <si>
    <t>SEVROLL Elegant II spodní vedení 4,05m zlatá</t>
  </si>
  <si>
    <t>SEVROLL Elegant spodné vedenie 4,05m zlatá</t>
  </si>
  <si>
    <t>SEVROLL Elegant II spodní vedení 4,05m oliva tmavá kartáčovaná</t>
  </si>
  <si>
    <t>SEVROLL Elegant sp.ved.4,05m ovliva tm. Kartáčovaná</t>
  </si>
  <si>
    <t>SEVROLL Elegant II spodní vedení 3m zlatá</t>
  </si>
  <si>
    <t>SEVROLL Elegant spodné vedenie 3m zlatá</t>
  </si>
  <si>
    <t>SEVROLL Elegant II spodní vedení 3m oliva tmavá kartáčovaná</t>
  </si>
  <si>
    <t>SEVROLL Elegant sp.ved.3m ovliva tm.kartáč.</t>
  </si>
  <si>
    <t>SEVROLL Elegant II spodní vedení 3m bílá mat</t>
  </si>
  <si>
    <t>SEVROLL Elegant spod.vedenie 3m RAL9003 mat</t>
  </si>
  <si>
    <t>SEVROLL Elegant II spodní vedení 2,35m zlatá</t>
  </si>
  <si>
    <t>SEVROLL Elegant spodné vedenie 2,35m zlatá</t>
  </si>
  <si>
    <t>SEVROLL Elegant II spodní vedení 2,35m oliva tmavá kartáčovaná</t>
  </si>
  <si>
    <t>SEVROLL Elegant sp.ved.2,35m ovliva tm. Kartáčovaná</t>
  </si>
  <si>
    <t>SEVROLL Elegant II spodní vedení 1,7m zlatá</t>
  </si>
  <si>
    <t>SEVROLL Elegant spodné vedenie 1,7m zlatá</t>
  </si>
  <si>
    <t>SEVROLL Elegant II spodní vedení 1,7m oliva tmavá kartáčovaná</t>
  </si>
  <si>
    <t>SEVROLL Elegant sp.ved.1,7m ovliva tm. Kartáčovaná</t>
  </si>
  <si>
    <t>SEVROLL Elegant II spodní vedení 1,7m černá kartáčovaná</t>
  </si>
  <si>
    <t>SEVROLL Elegant sp.ved.1,7m čierna kartáč.</t>
  </si>
  <si>
    <t>SEVROLL držák půdy skříně u šikmých stropů</t>
  </si>
  <si>
    <t>SEVROLL Doubler II spodní vedení 6m stříbrná</t>
  </si>
  <si>
    <t>SEVROLL Doubler II spodné vedenie 6m striebo</t>
  </si>
  <si>
    <t>SEVROLL Doubler II spodní vedení 6m oliva</t>
  </si>
  <si>
    <t>SEVROLL Doubler II spodní vedení 4,05m zlatá</t>
  </si>
  <si>
    <t>SEVROLL Doubler II spodné vedenie 4,05m zlat</t>
  </si>
  <si>
    <t>SEVROLL Doubler II spodní vedení 4,05m stříbrná</t>
  </si>
  <si>
    <t>SEVROLL Doubler ll spodné vedenie 4,05m str.</t>
  </si>
  <si>
    <t>SEVROLL Doubler II spodní vedení 4,05m oliva</t>
  </si>
  <si>
    <t>SEVROLL Doubler II spodní vedení 3m oliva</t>
  </si>
  <si>
    <t>SEVROLL Doubler II spodní vedení 2,35m oliva</t>
  </si>
  <si>
    <t>SEVROLL Doubler II spodní vedení 1,7m stříbrná</t>
  </si>
  <si>
    <t>SEVROLL Doubler II spodné vedenie 1,7m strie</t>
  </si>
  <si>
    <t>SEVROLL Doubler II spodní vedení 1,7m oliva</t>
  </si>
  <si>
    <t>SEVROLL Doubler II maska 6m stříbrná</t>
  </si>
  <si>
    <t>SEVROLL Doubler II maska 6m oliva</t>
  </si>
  <si>
    <t>SEVROLL Doubler II maska 4,05m stříbrná</t>
  </si>
  <si>
    <t>SEVROLL Doubler II maska 4,05m oliva</t>
  </si>
  <si>
    <t>SEVROLL Doubler II maska 3m oliva</t>
  </si>
  <si>
    <t>SEVROLL Doubler II maska 2,35m oliva</t>
  </si>
  <si>
    <t>SEVROLL Doubler II maska 1,7m stříbrná</t>
  </si>
  <si>
    <t>SEVROLL Doubler II maska 1,7m oliva</t>
  </si>
  <si>
    <t>SEVROLL dorazový kartáč zásuvný 4,8x9mm šedý</t>
  </si>
  <si>
    <t>SEVROLL dorazový kartáč zásuvný 4,8x9mm</t>
  </si>
  <si>
    <t>SEVROLL dorazový kartáč zásuvný 4,8x6mm</t>
  </si>
  <si>
    <t>SEVROLL dorazový kartáč zásuvný 14,5x4mm, 50m</t>
  </si>
  <si>
    <t>SEVROLL doraz.kartáč zásuvný 14,5x4mm-50m</t>
  </si>
  <si>
    <t>SEVROLL dorazový kartáč samolepící 6,7x4mm šedý</t>
  </si>
  <si>
    <t>SEV-támfalas kefe öntapadó 6,7x4mm szürke</t>
  </si>
  <si>
    <t>SEVROLL dorazový kartáč samolep. 6,7x4mm</t>
  </si>
  <si>
    <t>SEVROLL distanční profil 04 3m bílá lesk</t>
  </si>
  <si>
    <t>SEVROLL Comfort spodní vedení 4,05m stříbrná</t>
  </si>
  <si>
    <t>SEVROLL Comfort spodné vedenie 4,05m striebo</t>
  </si>
  <si>
    <t>SEVROLL Comfort spodní vedení 3m oliva</t>
  </si>
  <si>
    <t>SEVROLL Comfort spodné vedenie 3m oliva</t>
  </si>
  <si>
    <t>SEVROLL Comfort spodní vedení 1,7m stříbrná</t>
  </si>
  <si>
    <t>SEVROLL Comfort spodní vedení 1,7m oliva</t>
  </si>
  <si>
    <t>SEVROLL Comfort spodné vedenie 1,7m oliva</t>
  </si>
  <si>
    <t>SEVROLL Comfort horní vedení 6m stříbrná</t>
  </si>
  <si>
    <t>SEVROLL Comfort horné vedenie 6m strieborné</t>
  </si>
  <si>
    <t>SEVROLL Comfort horní vedení 6m oliva</t>
  </si>
  <si>
    <t>SEVROLL Comfort horné vedenie 6m oliva</t>
  </si>
  <si>
    <t>SEVROLL Comfort horní vedení 4,05m stříbrná</t>
  </si>
  <si>
    <t>SEVROLL -COMFORT HORNÉ VEDENI 4,05M STR</t>
  </si>
  <si>
    <t>SEVROLL Comfort horní vedení 4,05m oliva</t>
  </si>
  <si>
    <t>SEVROLL Comfort horní vedení 3m oliva</t>
  </si>
  <si>
    <t>SEVROLL Comfort horní vedení 2,35m oliva</t>
  </si>
  <si>
    <t>SEVROLL Comfort horní vedení 1,7m stříbrná</t>
  </si>
  <si>
    <t>SEVROLL Comfort horní vedení 1,7m oliva</t>
  </si>
  <si>
    <t>SEVROLL Comfort horné vedenie 1,7m oliva</t>
  </si>
  <si>
    <t>SEVROLL Comfort 18 II úchytová lišta 2,7m oliva</t>
  </si>
  <si>
    <t>SEVROLL Comfor 18 II úchytová lišta 2,7m oli</t>
  </si>
  <si>
    <t>SEVROLL Comfort 16 II úchytová lišta 2,7m stříbrná</t>
  </si>
  <si>
    <t>SEVROLL Comfor 16 II úch.lišta 2,7m strieborná</t>
  </si>
  <si>
    <t>SEVROLL Comfort 16 II úchytová lišta 2,7m oliva</t>
  </si>
  <si>
    <t>SEVROLL Comfor 16 II úch.lišta 2,7m oliva</t>
  </si>
  <si>
    <t>SEVROLL Cleft spodní vedení 1,7m zlatá</t>
  </si>
  <si>
    <t>SEV-Cleft alsó vezetés 1,7m arany</t>
  </si>
  <si>
    <t>SEVROLL spodné vedenie 1,7m zlatá</t>
  </si>
  <si>
    <t>SEVROLL boční krytka krycí profil Herkules Glas</t>
  </si>
  <si>
    <t>SEVROLL dočná krytka kryc.prof.Herkules Glas</t>
  </si>
  <si>
    <t>SEVROLL Blue-V spodní vedení 6m stříbrná</t>
  </si>
  <si>
    <t>SEVROLL Blue-V spodní vedení 6m oliva</t>
  </si>
  <si>
    <t>SEVROLL Blue-V spodní vedení 2,5m stříbrná</t>
  </si>
  <si>
    <t>SEVROLL Blue-V spodní vedení 2,5m oliva</t>
  </si>
  <si>
    <t>SEVROLL Blue-V spodní vedení 1,5m stříbrná</t>
  </si>
  <si>
    <t>SEVROLL Blue-V spodní vedení 1,5m oliva</t>
  </si>
  <si>
    <t>SEVROLL Blue-C spodní vedení 6m stříbrná</t>
  </si>
  <si>
    <t>SEVROLL Blue-C spodní vedení 6m oliva</t>
  </si>
  <si>
    <t>SEVROLL Blue-C spodní vedení 4m stříbrná</t>
  </si>
  <si>
    <t>SEVROLL Blue-C spodní vedení 4m oliva</t>
  </si>
  <si>
    <t>SEVROLL Blue-C spodní vedení 3m stříbrná</t>
  </si>
  <si>
    <t>SEVROLL Blue-C spodní vedení 3m oliva</t>
  </si>
  <si>
    <t>SEVROLL Blue-C spodní vedení 2m stříbrná</t>
  </si>
  <si>
    <t>SEVROLL Blue-C spodní vedení 2m oliva</t>
  </si>
  <si>
    <t>SEVROLL Blue-C spodní vedení 2,5m stříbrná</t>
  </si>
  <si>
    <t>SEVROLL Blue-C spodní vedení 2,5m oliva</t>
  </si>
  <si>
    <t>SEVROLL Blue-C spodní vedení 1,5m stříbrná</t>
  </si>
  <si>
    <t>SEVROLL Blue-C spodní vedení 1,5m oliva</t>
  </si>
  <si>
    <t>SEVROLL Blue horní vedení 6m stříbrná</t>
  </si>
  <si>
    <t>SEVROLL Blue horní vedení 6m oliva</t>
  </si>
  <si>
    <t>SEVROLL Blue horní vedení 2,5m stříbrná</t>
  </si>
  <si>
    <t>SEVROLL Blue horní vedení 2,5m oliva</t>
  </si>
  <si>
    <t>SEVROLL Blue horní vedení 1,5m stříbrná</t>
  </si>
  <si>
    <t>SEVROLL Blue horní vedení 1,5m oliva</t>
  </si>
  <si>
    <t>SEVROLL bezpečnostní fólie 500mm/50m transparentní</t>
  </si>
  <si>
    <t>SEVROLL bezp.fólie 500mm/50m transparentne</t>
  </si>
  <si>
    <t>SEVROLL bezpečnostní fólie 300mm/50m transparentní</t>
  </si>
  <si>
    <t>SEVROLL bezp.fólie 300mm/50m transparentne</t>
  </si>
  <si>
    <t>SEVROLL Beta 18 úchytová lišta 2,70m oliva</t>
  </si>
  <si>
    <t>SEVROLL Beta 16 úchytová lišta 2,70m stříbrná</t>
  </si>
  <si>
    <t>SEVROLL Beta 16 úchytová lišta 2,70m striebo</t>
  </si>
  <si>
    <t>SEVROLL Alfa II úchytová lišta 18mm 2,70m zlatá</t>
  </si>
  <si>
    <t>SEVROLL Alfa II úch.lišta 18mm 2,7m zlatá</t>
  </si>
  <si>
    <t>OKE-kartáč dorazový samolepící 6,7x5mm šedý</t>
  </si>
  <si>
    <t>OKE-kefkadoraz.samolep.6,7*5mm sivý</t>
  </si>
  <si>
    <t>OKE-kartáč dorazový samolepící 6,7x4mm bílý</t>
  </si>
  <si>
    <t>OKE-kartáč dorazový samolepící 6,7x3mm šedý</t>
  </si>
  <si>
    <t>KEFKA DORAZOVÁ SAMOLEP 6,7*3mm sivá</t>
  </si>
  <si>
    <t>OKE-kartáč dorazový samolepící 6,7x12mm bílý</t>
  </si>
  <si>
    <t>OKE-kartáč dorazový samolepící 6,7*12mm hnědý</t>
  </si>
  <si>
    <t>ASTIN zásuvná lišta 5,4m oliva lakovaná</t>
  </si>
  <si>
    <t>ASTIN zásuvná lišta 5,4m oliva lak.</t>
  </si>
  <si>
    <t>ASTIN výplň AD8221 10mm 1350x900mm</t>
  </si>
  <si>
    <t>ASTIN vodící lišta 5,4m oliva lakovaná</t>
  </si>
  <si>
    <t>ASTIN vodiaca lišta 5,4m oliva lak.</t>
  </si>
  <si>
    <t>ASTIN Twins úchytová lišta na 10mm 2,7m stříbrná</t>
  </si>
  <si>
    <t>ASTIN Twins úchyt.lišta na10mm 2,7m stříb.</t>
  </si>
  <si>
    <t>ASTIN Tower úchytová lišta 5,4m stříbrná</t>
  </si>
  <si>
    <t>ASTIN TOWER úchytová lišta 5,4m strieborná</t>
  </si>
  <si>
    <t>ASTIN spojovovací lišta H30 5,4m oliva lakovaná</t>
  </si>
  <si>
    <t>ASTIN spojovací lišta H30 5,4m oliva lak.</t>
  </si>
  <si>
    <t>ASTIN spojovovací lišta H10 5,4m oliva lakovaná</t>
  </si>
  <si>
    <t>ASTIN spojovací lišta H10 5,4m oliva lak.</t>
  </si>
  <si>
    <t>ASTIN spodní vedení 5,4m oliva lakovaná</t>
  </si>
  <si>
    <t>ASTIN spodné vedenie 5,4m oliva lak.</t>
  </si>
  <si>
    <t>ASTIN sada krytek pro vedení stříbrná</t>
  </si>
  <si>
    <t>ASTIN sada krytiek pre vedenie str.</t>
  </si>
  <si>
    <t>ASTIN Prestige úchytová išta 5,4m oliva lakovaná</t>
  </si>
  <si>
    <t>ASTIN PRESTIGE úch.lišta 5,4m oliva lak.</t>
  </si>
  <si>
    <t>ASTIN maska 5,4m oliva lakovaná</t>
  </si>
  <si>
    <t>ASTIN maska 5,4m oliva lak.</t>
  </si>
  <si>
    <t>ASTIN Luna úchytová lišta 5,4m stříbrná</t>
  </si>
  <si>
    <t>ASTIN LUNA úch.lišta 5,4m strieborná</t>
  </si>
  <si>
    <t>ASTIN Luna úchytová lišta 2,7m stříbrná</t>
  </si>
  <si>
    <t>ASTIN LUNA úch.lišta 2,7m strieborná</t>
  </si>
  <si>
    <t>ASTIN kryt profilu 2,7m stříbrná</t>
  </si>
  <si>
    <t>ASTIN kryt profilu 2,7m strieborná</t>
  </si>
  <si>
    <t>ASTIN krycí lišta 5,4m oliva lakovaná</t>
  </si>
  <si>
    <t>ASTIN krycia lišta 5,4m oliva lak.</t>
  </si>
  <si>
    <t>ASTIN horní vedení 5,4m oliva lakovaná</t>
  </si>
  <si>
    <t>ASTIN horné vedenie 5,4m oliva lak.</t>
  </si>
  <si>
    <t>ASTIN Heros úchytová lišta 5,4m stříbrná</t>
  </si>
  <si>
    <t>ASTIN Heros úch.lišta 5,4m strieborná</t>
  </si>
  <si>
    <t>SEVROLL profil "U" pro lamino 16mm 3m oliva</t>
  </si>
  <si>
    <t>SEVROLL profil "U" pre DTD 16mm 3m oliva</t>
  </si>
  <si>
    <t>SEVROLL krycí lišta Herkules 2 2,4m oliva</t>
  </si>
  <si>
    <t>SEVROLL folie 200-2163 (111025) 14,7m/4cm</t>
  </si>
  <si>
    <t>SEVROLL fólia 200-2163 (111025) 14,7m/4cm</t>
  </si>
  <si>
    <t>SEVROLL folie 200-1682 (111056) 14,7m/4cm</t>
  </si>
  <si>
    <t>SEVROLL fólia 200-1682 (111056) 14,7m/4cm</t>
  </si>
  <si>
    <t>SEVROLL Gemini horní vedení 2,355m stříbrná + otvory</t>
  </si>
  <si>
    <t>SEVROLL Gemini horné vedenie 2,355m stieborná+otvory</t>
  </si>
  <si>
    <t>ASTIN Smart horní vozík</t>
  </si>
  <si>
    <t>ASTIN Smart horný vozík</t>
  </si>
  <si>
    <t>ASTIN Smart dolní vozík</t>
  </si>
  <si>
    <t>ASTIN Smart spodný vozík</t>
  </si>
  <si>
    <t>SEVROLL záslepka spodního vedení Simple/Blue průsvitná</t>
  </si>
  <si>
    <t>SEVROLL záslepka spodného vedenia Simple</t>
  </si>
  <si>
    <t>SEVROLL upevňovací klín Blue 40ks (sklo 4mm)</t>
  </si>
  <si>
    <t>SEVROLL tlumič dorazu 10/18mm 25-50kg levý</t>
  </si>
  <si>
    <t>SEVROLL tlmič dorazu 10/18mm 25-50kg ľavý</t>
  </si>
  <si>
    <t>SEVROLL tlumič dorazu 10/18mm 14-25kg pravý</t>
  </si>
  <si>
    <t>SEVROLL tlmič dorazu 10/18mm 14-25kg pravý</t>
  </si>
  <si>
    <t>SEVROLL tlumič dorazu 10/18mm 14-25kg levý</t>
  </si>
  <si>
    <t>SEVROLL tlmič dorazu 10/18mm 14-25kg ľavý</t>
  </si>
  <si>
    <t>SEVROLL těsnění na sklo 10/4mm</t>
  </si>
  <si>
    <t>SEVROLL tesnenie na sklo 10/4mm</t>
  </si>
  <si>
    <t>SEVROLL šroubovrut Blue 6,3x45</t>
  </si>
  <si>
    <t>SEV-spec.csavar Blue 6,3*45</t>
  </si>
  <si>
    <t>SEV-blachowkręt Blue 6,3*45</t>
  </si>
  <si>
    <t>SEVROLL šroubovrut Blue 6,3*45</t>
  </si>
  <si>
    <t>SEVROLL spona dorazového kartáčku</t>
  </si>
  <si>
    <t>SEVROLL spona dorazového kartáča</t>
  </si>
  <si>
    <t>SEVROLL spojovací lišta Simple/Blue H28 3m (pro lamino 18mm) stříbrná</t>
  </si>
  <si>
    <t>SEVROLL spojovacia lišta Simple / Blue H28 3m (18mm) strieborná</t>
  </si>
  <si>
    <t>SEVROLL spojovací lišta Simple/Blue H21 3m (pro lamino 18mm) stříbrná</t>
  </si>
  <si>
    <t>SEVROLL spoj.lišta Simple H21 3m(18mm) str.</t>
  </si>
  <si>
    <t>SEVROLL spojovací lišta H18 3m stříbrná</t>
  </si>
  <si>
    <t>SEVROLL spojovacia lišta H18 3m strieborná</t>
  </si>
  <si>
    <t>SEVROLL spodní vozík WD10 V 2ks bez pozicionéru</t>
  </si>
  <si>
    <t>SEV-wózek dolny WD10 V 2szt bez pozycjonera</t>
  </si>
  <si>
    <t>SEVROLL spodní vozík Simple/Blue V (rámový systém) - 2ks</t>
  </si>
  <si>
    <t>SEVROLL spodný vozík Simple/Blue V (rámový s</t>
  </si>
  <si>
    <t>SEVROLL spodní vozík Blue V bezrámový pro 18mm - 2ks</t>
  </si>
  <si>
    <t>SEVROLL spodný vozík Blue V (bezrámový pre 1</t>
  </si>
  <si>
    <t>SEVROLL spodní krycí lišta Simple/Blue 3m (pro lamino 18mm) stříbrná</t>
  </si>
  <si>
    <t>SEVROLL spod.krycia lišta Simple 3m(18mm)str</t>
  </si>
  <si>
    <t>SEVROLL Rekord úchytová lišta 18mm 2,70m stříbrná</t>
  </si>
  <si>
    <t>SEVROLL Rekord úchytková lišta 18mm 2,70m strieborná</t>
  </si>
  <si>
    <t>SEVROLL protiprachový kartáč samolepící 6,7x13mm šedý</t>
  </si>
  <si>
    <t>SEV-porfogó kefe öntapadó 6,7x13mm szürke</t>
  </si>
  <si>
    <t>SEVROLL protiprachový kartáč samolep. 6,7x13mm</t>
  </si>
  <si>
    <t>SEVROLL pozicionér spodního vozíku HI-TEC</t>
  </si>
  <si>
    <t>SEV-Finomállítő alsó görgőhöz HI-TEC</t>
  </si>
  <si>
    <t>SEV- Stoper HI-TEC</t>
  </si>
  <si>
    <t>SEVROLL maska Elegant II 4,05m stříbrná</t>
  </si>
  <si>
    <t>SEV-takaróprofil Elegant II 4,05m ezüst</t>
  </si>
  <si>
    <t>SEV - zaślepka Elegant II 4,05m srebrny</t>
  </si>
  <si>
    <t>SEVROLL maska Elegant II 3m stříbrná</t>
  </si>
  <si>
    <t>SEV-takaróprofil Elegant II 3m ezüst</t>
  </si>
  <si>
    <t>SEV - zaślepka Elegant II 3 m srebrny</t>
  </si>
  <si>
    <t>SEVROLL maska Elegant II 2,35m stříbrná</t>
  </si>
  <si>
    <t>SEV-takaróprofil Elegant II 2,35m ezüst</t>
  </si>
  <si>
    <t>SEVROLL maska Elegant II 1,7m stříbrná</t>
  </si>
  <si>
    <t>SEV-takaróprofil Elegant II 1,7m ezüst</t>
  </si>
  <si>
    <t>SEVROLL horní vozík Gemini symetrický 10mm - 2ks</t>
  </si>
  <si>
    <t>SEVROLL horný vozík Gemini symetr.10mm-2ks</t>
  </si>
  <si>
    <t>SEVROLL horní vozík Blue (pro lamino 18mm) rámový L+P</t>
  </si>
  <si>
    <t>SEVROLL horný vozík Blue(18mm)rámový (L+P)</t>
  </si>
  <si>
    <t>SEVROLL horní vozík Blue (pro lamino 18mm) bezrámový L+P</t>
  </si>
  <si>
    <t>SEV-horný vozík Blue(18mm)bezrámový (L+P)</t>
  </si>
  <si>
    <t>SEVROLL horní vodící lišta Simple/Blue 3m (pro lamino 18mm) stříbrná</t>
  </si>
  <si>
    <t>SEVROLL hor.vod.lišta Simple 3m(18mm) str.</t>
  </si>
  <si>
    <t>SEVROLL Gemini horní vedení 4,05m stříbrná</t>
  </si>
  <si>
    <t>SEVROLL Gemini horné vedenie 4,05m striebor</t>
  </si>
  <si>
    <t>SEVROLL Gemini horní vedení 3m stříbrná</t>
  </si>
  <si>
    <t>SEVROLL Gemini horné vedenie 3m strieborná</t>
  </si>
  <si>
    <t>SEVROLL Gemini horní vedení 2,35m stříbrná</t>
  </si>
  <si>
    <t>SEVROLL Gemini horné vedenie 2,35m strieborn</t>
  </si>
  <si>
    <t>SEVROLL Fix pozicionér pro horní vozík transparentní</t>
  </si>
  <si>
    <t>SEVROLL Fix pozicionér pre horný vozík tran.</t>
  </si>
  <si>
    <t>SEVROLL Factor 18 II úchytová lišta 2,7m stříbrná</t>
  </si>
  <si>
    <t>SEVROLL Era úchytová lišta 18mm 2,70m stříbrná</t>
  </si>
  <si>
    <t>SEVROLL Era úchytová lišta 18mm 2,70m strieborná</t>
  </si>
  <si>
    <t>SEVROLL Elegant II spodní vedení 4,05m stříbrná</t>
  </si>
  <si>
    <t>SEVROLL Elegant spodné vedenie 4,05m striebo</t>
  </si>
  <si>
    <t>SEVROLL Elegant II spodní vedení 3m stříbrná</t>
  </si>
  <si>
    <t>SEVROLL Elegant spodné vedenie 3m strieborná</t>
  </si>
  <si>
    <t>SEVROLL Elegant II spodní vedení 2,35m stříbrná</t>
  </si>
  <si>
    <t>SEVROLL Elegant spodné vedenie 2,35m striebo</t>
  </si>
  <si>
    <t>SEVROLL Elegant II spodní vedení 1,7m stříbrná</t>
  </si>
  <si>
    <t>SEVROLL Elegant spodné vedenie 1,7m striebor</t>
  </si>
  <si>
    <t>SEVROLL dorazový kartáč zásuvný 4,8x4mm</t>
  </si>
  <si>
    <t>SEVROLL dorazový kartáč zásuvný 14,5x4mm</t>
  </si>
  <si>
    <t>SEVROLL dorazový kartáč samolepící 6,7x9mm šedý</t>
  </si>
  <si>
    <t>SEV-támfalas kefe öntapadós 6,7x9mm szürke</t>
  </si>
  <si>
    <t>SEV-dorazový kartáč samolepiaci 6,7x9mm šedý</t>
  </si>
  <si>
    <t>SEVROLL dorazový kartáč samolepiaci 6,7x4mm</t>
  </si>
  <si>
    <t>SEVROLL Blue-V spodní vedení 4m stříbrná</t>
  </si>
  <si>
    <t>SEVROLL Blue-V spodné vedenie 4m strieborná</t>
  </si>
  <si>
    <t>SEVROLL Blue-V spodní vedení 3m stříbrná</t>
  </si>
  <si>
    <t>SEVROLL Blue-V spodné vedenie 3m strieborná</t>
  </si>
  <si>
    <t>SEVROLL Blue-V spodní vedení 2m stříbrná</t>
  </si>
  <si>
    <t>SEVROLL Blue-V spodné vedenie 2m strieborná</t>
  </si>
  <si>
    <t>SEVROLL Blue horní vedení 4m stříbrná</t>
  </si>
  <si>
    <t>SEVROLL Blue horné vedenie 4m strieborná</t>
  </si>
  <si>
    <t>SEVROLL Blue horní vedení 3m stříbrná</t>
  </si>
  <si>
    <t>SEVROLL Blue horné vedenie 3m strieborná</t>
  </si>
  <si>
    <t>SEVROLL Blue horní vedení 2m stříbrná</t>
  </si>
  <si>
    <t>SEVROLL Blue horné vedenie 2m strieborná</t>
  </si>
  <si>
    <t>SEVROLL Alfa II úchytová lišta 18mm 2,70m stříbrná</t>
  </si>
  <si>
    <t>SEVROLL Alfa II úch.lišta 18mm 2,7m strieborná</t>
  </si>
  <si>
    <t>SEVROLL 2x spodní vozík WD18V bez pozicionéru s pružinou</t>
  </si>
  <si>
    <t>SEV-2x spodný vozík WD18V bez pozicionéru, s pružinou</t>
  </si>
  <si>
    <t>SEVROLL 2x spodní vozík pro lamino 18mm bez pozicionéru bez pružiny</t>
  </si>
  <si>
    <t>SEV-2x alsó görgő DTD 18mm,finomállító nélkül,rugó nélkül</t>
  </si>
  <si>
    <t>SEVROLL zámek na posuvné dveře 10/18mm</t>
  </si>
  <si>
    <t>SEV-zár tolóajtókra 10/18 mm</t>
  </si>
  <si>
    <t>SEVROLL zámok na posuvné dvere 18 mm</t>
  </si>
  <si>
    <t>SEVROLL vrut 2,5x18mm</t>
  </si>
  <si>
    <t>SEVROLL vrták stupňovitý 6,5/9,5mm</t>
  </si>
  <si>
    <t>SEVROLL Victoria II úchytová lišta 2,7m oliva kartáčovaná</t>
  </si>
  <si>
    <t>SEVROLL Victoria II úch.lišta 2,7m oliv.kart</t>
  </si>
  <si>
    <t>SEVROLL Victoria II úchytová lišta 18mm 2,7m stříbrná</t>
  </si>
  <si>
    <t>SEVROLL Victoria II úcht.lišta 18mm 2,7m str</t>
  </si>
  <si>
    <t>SEVROLL Victoria II úchytová lišta 18mm 2,7m oliva</t>
  </si>
  <si>
    <t>SEVROLL Victoria II úch.liš. 18mm 2,7m oliva</t>
  </si>
  <si>
    <t>SEVROLL Victoria II 2,7m černá kartáčovaná</t>
  </si>
  <si>
    <t>SEVROLL victoria II 2,7m čierna kartáč</t>
  </si>
  <si>
    <t>SEVROLL vedení INTER S 35kg do stropu 2m</t>
  </si>
  <si>
    <t>SEVROLL vedenie INTER S 35kg do stropu 2m</t>
  </si>
  <si>
    <t>SEVROLL vedení INTER S 35kg do stropu 1,5m</t>
  </si>
  <si>
    <t>SEVROLL vedenie INTER S 35kg do stropu 1,5m</t>
  </si>
  <si>
    <t>SEVROLL vedení INTER B 35kg na stěnu 2m</t>
  </si>
  <si>
    <t>SEVROLL vedenie INTER B 35kg do stropu 2m</t>
  </si>
  <si>
    <t>SEVROLL vedení INTER B 35kg na stěnu 1,5m</t>
  </si>
  <si>
    <t>SEVROLL vedenie INTER B 35kg na stenu 1,5m</t>
  </si>
  <si>
    <t>SEVROLL vedení Galaxy S 50kg do stropu 6m</t>
  </si>
  <si>
    <t>SEVROLL vedenie Galaxy S 50kg do stropu 6m</t>
  </si>
  <si>
    <t>SEVROLL vedení Galaxy S 50kg do stropu 3m</t>
  </si>
  <si>
    <t>SEVROLL vedení Galaxy S 50kg do stropu 2m</t>
  </si>
  <si>
    <t>SEVROLL vedenie Galaxy S 50kg do stropu 2m</t>
  </si>
  <si>
    <t>SEVROLL vedení Galaxy B 50kg na stěnu 6m</t>
  </si>
  <si>
    <t>SEVROLL vedenie Galaxy B 50kg na stenu 6m</t>
  </si>
  <si>
    <t>SEVROLL vedení Galaxy B 50kg na stěnu 3m</t>
  </si>
  <si>
    <t>SEVROLL vedenie Galaxy B 50kg na stenu 3m</t>
  </si>
  <si>
    <t>SEVROLL vedení Galaxy B 50kg na stěnu 2m</t>
  </si>
  <si>
    <t>SEVROLL vedenie Galaxy B 50kg na stenu 2m</t>
  </si>
  <si>
    <t>SEVROLL Universal 18 úchytová lišta 2,7m stříbrná</t>
  </si>
  <si>
    <t>SEVROLL Universal 18 úch.lišta 2,7m striebor</t>
  </si>
  <si>
    <t>SEVROLL Universal 18 úchytová lišta 2,7m oliva</t>
  </si>
  <si>
    <t>SEVROLL Universal 18 úch.lišta 2,7m oliva</t>
  </si>
  <si>
    <t>SEVROLL Unicomfort II úchytová lišta 2,7m stříbrná</t>
  </si>
  <si>
    <t>SEVROLL Unicomfort II úch.lišta 2,7m str.</t>
  </si>
  <si>
    <t>SEVROLL úhelník K2 Decor 3m stříbrná</t>
  </si>
  <si>
    <t>SEVROLL uholník K2 Decor 3m strieborná</t>
  </si>
  <si>
    <t>SEVROLL úhelník K2 Decor 3m oliva kartáčovaná</t>
  </si>
  <si>
    <t>SEVROLL uholník K2 Decor 3m oliva kartáč.</t>
  </si>
  <si>
    <t>SEVROLL úhelník K2 Decor 3m oliva</t>
  </si>
  <si>
    <t>SEVROLL uholník K2 Decor 3m oliva</t>
  </si>
  <si>
    <t>SEVROLL úhelník K2 Decor 2,35m stříbrná</t>
  </si>
  <si>
    <t>SEVROLL uholník K2 Decor 2,35m strieborná</t>
  </si>
  <si>
    <t>SEVROLL úhelník K2 Decor 2,35m oliva kartáčovaná</t>
  </si>
  <si>
    <t>SEVROLL uholník K2 Decor 2,35m oliva kartáč.</t>
  </si>
  <si>
    <t>SEVROLL úhelník K2 Decor 2,35m oliva</t>
  </si>
  <si>
    <t>SEVROLL uholník K2 Decor 2,35m oliva</t>
  </si>
  <si>
    <t>SEVROLL úhelník K2 Decor 1,7m stříbrná</t>
  </si>
  <si>
    <t>SEVROLL-278 UHOLNÍK K2 1,70M STRIEBORNÁ</t>
  </si>
  <si>
    <t>SEVROLL úhelník K2 Decor 1,7m oliva kartáčovaná</t>
  </si>
  <si>
    <t>SEVROLL uholník K2 Decor 1,7m oliva kartáčov</t>
  </si>
  <si>
    <t>SEVROLL úhelník K2 3m černá kartáčovaná</t>
  </si>
  <si>
    <t>SEVROLL uholník K2 3m čierna kartač</t>
  </si>
  <si>
    <t>SEVROLL úhelník 36x36mm 3m stříbrná</t>
  </si>
  <si>
    <t>SEVROLL uholník 36x36mm 3m strieborná</t>
  </si>
  <si>
    <t>SEVROLL úhelník 18x36mm 3m stříbrná</t>
  </si>
  <si>
    <t>SEVROLL uholník 18x36mm 3m strieborná</t>
  </si>
  <si>
    <t>SEVROLL úhelník 17x11mm 3m stříbrná</t>
  </si>
  <si>
    <t>SEVROLL úhelník 17x11mm 3m oliva</t>
  </si>
  <si>
    <t>SEVROLL úhelník 17x11mm 3m bílá lesk</t>
  </si>
  <si>
    <t>SEVROLL uholník 17x11mm 3m biela lesk</t>
  </si>
  <si>
    <t>SEVROLL úhelník 17x11mm 2,35m stříbrná</t>
  </si>
  <si>
    <t>SEVROLL úhelník 17x11mm 2,35m oliva</t>
  </si>
  <si>
    <t>SEVROLL úhelník 17x11mm 2,35m bílá lesk</t>
  </si>
  <si>
    <t>SEVROLL uholník 17x11mm 2,35m biela lesk</t>
  </si>
  <si>
    <t>SEVROLL úhelník 17x11mm 1,7m stříbrná</t>
  </si>
  <si>
    <t>SEVROLL úhelník 17x11mm 1,7m oliva</t>
  </si>
  <si>
    <t>SEVROLL úhelník 17x11mm 1,7m bílá lesk</t>
  </si>
  <si>
    <t>SEVROLL uholník 17x11mm 1,7m biela lesk</t>
  </si>
  <si>
    <t>SEVROLL Tytan úchytová lišta 18mm 2,7m stříbrná</t>
  </si>
  <si>
    <t>SEVROLL Tytan úch.lišta 18mm 2,7m strieborná</t>
  </si>
  <si>
    <t>SEVROLL Tytan úchytová lišta 18mm 2,7m oliva</t>
  </si>
  <si>
    <t>SEVROLL Tytan úch.lišta 18mm 2,7m oliva</t>
  </si>
  <si>
    <t>SEVROLL tlumič dorazu Mini SV40 (25 - 40kg) - 2ks</t>
  </si>
  <si>
    <t>SEV-ütközés csillapító Mini SV40 - 2 db (25 - 40 kg)</t>
  </si>
  <si>
    <t>SEVROLL tlmič dorazu Mini SV40 - 2ks</t>
  </si>
  <si>
    <t>SEVROLL tlumič dorazu Mini SV25 (14-25kg) - 2 ks</t>
  </si>
  <si>
    <t>SEV-ütközés csillapító Mini SV25 - 2 db (14 - 25 kg)</t>
  </si>
  <si>
    <t>SEVROLL tlmič dorazu Mini SV25 - 2ks</t>
  </si>
  <si>
    <t>SEVROLL tlumič dorazu 10/18mm 25-50kg pravý</t>
  </si>
  <si>
    <t>SEVROLL tlmič dorazu 10/18mm 25-50kg pravý</t>
  </si>
  <si>
    <t>SEVROLL tlumič Central 10/18mm oboustranný 25kg</t>
  </si>
  <si>
    <t>SEVROLL tlmič Central 10/18mm obojst. 25 kg</t>
  </si>
  <si>
    <t>SEVROLL tlumič Central 10/18mm oboustranný 25-40kg</t>
  </si>
  <si>
    <t>SEVROLL tlmič Central 10/18mm obojst.25-40kg</t>
  </si>
  <si>
    <t>SEVROLL těsnění na sklo 18/4-4,5mm asymetrické</t>
  </si>
  <si>
    <t>SEVROLL tesnenie na sklo 18/4-4,5mm asymetr.</t>
  </si>
  <si>
    <t>SEVROLL těsnění na sklo 10/6mm</t>
  </si>
  <si>
    <t>SEVROLL tesnenie na sklo 10/6mm</t>
  </si>
  <si>
    <t>SEVROLL těsnění na sklo 10/4,5mm</t>
  </si>
  <si>
    <t>SEVROLL těsnění na sklo 10,1/8mm</t>
  </si>
  <si>
    <t>SEVROLL tesnenie na sklo 10,1/8mm</t>
  </si>
  <si>
    <t>SEVROLL šroubovrut 6,3x32 Sevroll a Simple</t>
  </si>
  <si>
    <t>SEVROLL šroubovrut 6,3*32 -Sevroll a Simple</t>
  </si>
  <si>
    <t>SEVROLL System 10 II úchytová lišta 2,7m stříbrná</t>
  </si>
  <si>
    <t>SEVROLL System 10 II úch.lišta 2,7m striebor</t>
  </si>
  <si>
    <t>SEVROLL System 10 II úchytová lišta 2,7m oliva</t>
  </si>
  <si>
    <t>SEVROLL System 10 II úch.lišta 2,7m oliva</t>
  </si>
  <si>
    <t>SEVROLL spojovací lišta T Decor 3m stříbrná</t>
  </si>
  <si>
    <t>SEVROLL spojovacia lišta T Decor 3m striebor</t>
  </si>
  <si>
    <t>SEVROLL spojovací lišta T Decor 3m oliva</t>
  </si>
  <si>
    <t>SEVROLL spojovacia lišta T Decor 3m oliva</t>
  </si>
  <si>
    <t>SEVROLL spojovací lišta Simple/Blue H28 3m (pro lamino 18mm) oliva</t>
  </si>
  <si>
    <t>SEVROLL spojovacia lišta Simple/Blue 3m (18m</t>
  </si>
  <si>
    <t>SEVROLL spojovací lišta Simple/Blue H21 3m (pro lamino 18mm) oliva</t>
  </si>
  <si>
    <t>SEVROLL spojovacia lišta Simple/Blue H21 3m</t>
  </si>
  <si>
    <t>SEVROLL spojovací lišta H30 3m stříbrná</t>
  </si>
  <si>
    <t>SEVROLL-253S-SPOJ.LIŠTA H-30mm STR 3m</t>
  </si>
  <si>
    <t>SEVROLL spojovací lišta H30 3m oliva</t>
  </si>
  <si>
    <t>SEVROLL spojovacia lišta H30 3m oliva</t>
  </si>
  <si>
    <t>SEVROLL spojovací lišta H18 3m oliva kartáčovaná</t>
  </si>
  <si>
    <t>SEVROLL spojovacia lišta H18 3m oliva kartáč</t>
  </si>
  <si>
    <t>SEVROLL spojovací lišta H18 3m oliva</t>
  </si>
  <si>
    <t>SEVROLL spojovacia lišta H18 3m oliva</t>
  </si>
  <si>
    <t>SEVROLL spojovací lišta H18 3m černá kartáčovaná</t>
  </si>
  <si>
    <t>SEVROLL spoj.lišta H18 3m čierna kartáč</t>
  </si>
  <si>
    <t>SEVROLL spojovací lišta H18 3m bílá lesk</t>
  </si>
  <si>
    <t>SEVROLL spojovacia lišta H18 3m biela lesk</t>
  </si>
  <si>
    <t>SEVROLL spojovací lišta H10 Decor 3m stříbrná</t>
  </si>
  <si>
    <t>SEVROLL spojovacia lišta H10 Decor 3m strieb</t>
  </si>
  <si>
    <t>SEVROLL spojovací lišta H10 3m stříbrná</t>
  </si>
  <si>
    <t>SEVROLL spojovací lišta H10 3m oliva kartáčovaná</t>
  </si>
  <si>
    <t>SEVROLL-SPOJ.LIŠTA "H 10" 3M OLIVA kartáčovaná</t>
  </si>
  <si>
    <t>SEVROLL spojovací lišta H10 3m oliva</t>
  </si>
  <si>
    <t>SEVROLL spojovací lišta H10 3m černá kartáčovaná</t>
  </si>
  <si>
    <t>SEVROLL spoj.lišta H10 3m čierna kartáč</t>
  </si>
  <si>
    <t>SEVROLL spojovací lišta H10 3m bílá lesk</t>
  </si>
  <si>
    <t>SEVROLL spojovacia lišta H10 3m biela lesk</t>
  </si>
  <si>
    <t>SEVROLL spojovací lišta H08/18 3m stříbrná</t>
  </si>
  <si>
    <t>SEVROLL spojovacia lišta H08/18 3m strieborn</t>
  </si>
  <si>
    <t>SEVROLL spojovací lišta H04 3m stříbrná</t>
  </si>
  <si>
    <t>SEVROLL-SPOJOVACIA LIŠTA H04 3M STRIEBN</t>
  </si>
  <si>
    <t>SEVROLL spojovací lišta "T" 3m stříbrná</t>
  </si>
  <si>
    <t>SEVROLL spojovaciá lišta "T" 3m strieborná</t>
  </si>
  <si>
    <t>SEVROLL spojovací lišta "T" 3m oliva</t>
  </si>
  <si>
    <t>SEVROLL spojovaciá lišta "T" 3m oliva</t>
  </si>
  <si>
    <t>SEVROLL spodní vozík WD 18C HI-TEC - 2ks</t>
  </si>
  <si>
    <t>SEVROLL spodný vozík WD 18C HI-TEC - 2ks</t>
  </si>
  <si>
    <t>SEVROLL spodní vozík WD 10C HI-TEC - 2ks</t>
  </si>
  <si>
    <t>SEVROLL spodný vozík WD 10C HI-TEC - 2ks</t>
  </si>
  <si>
    <t>SEVROLL spodní vozík Simple (bezrámový 18mm) - 2ks</t>
  </si>
  <si>
    <t>SEVROLL spod.vozík Simple (bezrám. 18mm)-2ks</t>
  </si>
  <si>
    <t>SEVROLL spodní krycí lišta Simple/Blue 3m (pro lamino 18mm) oliva</t>
  </si>
  <si>
    <t>SEVROLL spodná krycia lišta Simple/Blue 3m (</t>
  </si>
  <si>
    <t>SEVROLL spodní krycí lišta Simple/Blue 3m (pro lamino 10mm) stříbrná</t>
  </si>
  <si>
    <t>SEV-alsó takaró profil Simple/Blue 3m (10mm) ezüst</t>
  </si>
  <si>
    <t>SEV-List.poz.dolna-Simple/Blue 10 sreb.-3,00m</t>
  </si>
  <si>
    <t>SEVROLL spod.krycia lišta Simple/Blue 3m(10mm)str</t>
  </si>
  <si>
    <t>SEVROLL spodní krycí lišta Simple/Blue 2m (pro lamino 18mm) stříbrná</t>
  </si>
  <si>
    <t>SEVROLL spod.kryc.lišta Simple 2m(18mm)str.</t>
  </si>
  <si>
    <t>SEVROLL spodní krycí lišta Simple/Blue 2m (pro lamino 18mm) oliva</t>
  </si>
  <si>
    <t>SEVROLL spodná krycia lišta Simple/Blue 2m (</t>
  </si>
  <si>
    <t>SEVROLL spodní krycí lišta Simple/Blue 2m (pro lamino 10mm) stříbrná</t>
  </si>
  <si>
    <t>SEV-alsó takaró profil Simple/Blue 2m (10mm) ezüst</t>
  </si>
  <si>
    <t>SEV-List.poz.dolna-Simple/Blue 10 sreb.-2,00m</t>
  </si>
  <si>
    <t>SEVROLL spod.kryc.lišta Simple/Blue 2m(10mm)str.</t>
  </si>
  <si>
    <t>SEVROLL spodní krycí lišta Simple/Blue 1,5m (pro lamino 18mm) stříbrná</t>
  </si>
  <si>
    <t>SEVROLL spod.kryc.lišta Simple/Blue 1,5m(18m</t>
  </si>
  <si>
    <t>SEVROLL spodní krycí lišta Simple/Blue 1,5m (pro lamino 18mm) oliva</t>
  </si>
  <si>
    <t>SEVROLL spodná krycia lišta Simple/Blue (18m</t>
  </si>
  <si>
    <t>SEVROLL spodní krycí lišta Simple/Blue 1,5m (pro lamino 10mm) stříbrná</t>
  </si>
  <si>
    <t>SEV-alsó takaró profil Simple/Blue 1,5m (10mm) ezüst</t>
  </si>
  <si>
    <t>SEV-List.poz.dolna-Simple/Blue 10 sreb.-1,50m</t>
  </si>
  <si>
    <t>SEVROLL dol.vod.lišta Simple/Blue 1,5m(10mm)str.</t>
  </si>
  <si>
    <t>SEVROLL spodní krycí lišta 3m stříbrná</t>
  </si>
  <si>
    <t>SEVROLL spodná krycia lišta 3m strieborná</t>
  </si>
  <si>
    <t>SEVROLL spodní krycí lišta 3m oliva kartáčovaná</t>
  </si>
  <si>
    <t>SEVROLL spod.krycia lišta 3m oliva kartáč.</t>
  </si>
  <si>
    <t>SEVROLL spodní krycí lišta 3m oliva</t>
  </si>
  <si>
    <t>SEVROLL spodná krycia lišta 3m oliva</t>
  </si>
  <si>
    <t>SEVROLL spodní krycí lišta 3m černá kartáčovaná</t>
  </si>
  <si>
    <t>SEVROLL spod.krycia lišta 3m čierna kartáč</t>
  </si>
  <si>
    <t>SEVROLL spodní krycí lišta 3m bílá lesk</t>
  </si>
  <si>
    <t>SEVROLL spodná krycia lišta 3m biela lesk</t>
  </si>
  <si>
    <t>SEVROLL spodní krycí lišta 2.35m černá kartáčovaná</t>
  </si>
  <si>
    <t>SEVROLL spod.krycia lišta 2,35m,čierna kartá</t>
  </si>
  <si>
    <t>SEVROLL spodní krycí lišta 2,35m stříbrná</t>
  </si>
  <si>
    <t>SEVROLL spodná krycia lišta 2,35m strieborná</t>
  </si>
  <si>
    <t>SEVROLL spodní krycí lišta 2,35m oliva kartáčovaná</t>
  </si>
  <si>
    <t>SEVROLL spod.krycia lišta 2,35m oliva kartáč</t>
  </si>
  <si>
    <t>SEVROLL spodní krycí lišta 2,35m oliva</t>
  </si>
  <si>
    <t>SEVROLL spodná krycia lišta 2,35m oliva</t>
  </si>
  <si>
    <t>SEVROLL spodní krycí lišta 2,35m bílá lesk</t>
  </si>
  <si>
    <t>SEVROLL spod.krycia lišta 2,35m biela lesk</t>
  </si>
  <si>
    <t>SEVROLL spodní krycí lišta 1,7m stříbrná</t>
  </si>
  <si>
    <t>SEVROLL spodná krycia lišta 1,7m strieborná</t>
  </si>
  <si>
    <t>SEVROLL spodní krycí lišta 1,7m oliva kartáčovaná</t>
  </si>
  <si>
    <t>SEVROLL spod. krycia lišta 1,7m oliva kartáč</t>
  </si>
  <si>
    <t>SEVROLL spodní krycí lišta 1,7m oliva</t>
  </si>
  <si>
    <t>SEVROLL spodná krycia lišta 1,7m oliva</t>
  </si>
  <si>
    <t>SEVROLL spodní krycí lišta 1,7m bílá lesk</t>
  </si>
  <si>
    <t>SEVROLL spodná krycia lišta 1,7m biela les</t>
  </si>
  <si>
    <t>SEVROLL Smart spodní vedení 3m stříbrná</t>
  </si>
  <si>
    <t>SEVROLL Smart spodní vedení 2,35m stříbrná</t>
  </si>
  <si>
    <t>SEVROLL Smart spodní vedení 1,7m stříbrná</t>
  </si>
  <si>
    <t>SEVROLL Single horní vedení 3m stříbrná</t>
  </si>
  <si>
    <t>SEVROLL-SINGLE HORNÉ VEDENIE 3 M strieborná</t>
  </si>
  <si>
    <t>SEVROLL Single horní vedení 2,35m stříbrná</t>
  </si>
  <si>
    <t>SEVROLL Single horné vedenie 2,35m strieborn</t>
  </si>
  <si>
    <t>SEVROLL Single horní vedení 1,7m stříbrná</t>
  </si>
  <si>
    <t>SEVROLL Single horné vedenie 1,7m strieborná</t>
  </si>
  <si>
    <t>SEVROLL Simple/Blue pozicionér pro spodní vozík</t>
  </si>
  <si>
    <t>SEVROLL Simple pozicionér pre spodný vozík</t>
  </si>
  <si>
    <t>SEVROLL Simple/Blue montážní přípravek pro lamino 10/18mm</t>
  </si>
  <si>
    <t>SEVROLL Simple/Blue montážny prípravok na DT</t>
  </si>
  <si>
    <t>SEVROLL sada pro interiérové dveře Simple ZPI-18 50kg</t>
  </si>
  <si>
    <t>SEVROLL sada inter.dvere ZPI-18 na 50kg/kr.</t>
  </si>
  <si>
    <t>SEVROLL Romeo II úchytová lišta 2,7m stříbrná</t>
  </si>
  <si>
    <t>SEVROLL Romeo II úchytová lišta 2,7m oliva</t>
  </si>
  <si>
    <t>SEVROLL Romeo II úch.lišta 2,7m oliva</t>
  </si>
  <si>
    <t>SEVROLL Rex úchytová lišta 2,7m stříbrná</t>
  </si>
  <si>
    <t>SEVROLL Rex úchytová lišta 2,7m strieborná</t>
  </si>
  <si>
    <t>SEVROLL Rekord úchytová lišta 18mm 2,70m oliva</t>
  </si>
  <si>
    <t>SEVROLL Rekord úchytková lišta 18mm 2,70m oliva</t>
  </si>
  <si>
    <t>SEVROLL protiprachový kartáč zásuvný 4,8x13mm</t>
  </si>
  <si>
    <t>SEVROLL protiprach.kartáč zásuvný 4,8x13mm</t>
  </si>
  <si>
    <t>SEVROLL Prosper II úchytová lišta 2,7m stříbrná</t>
  </si>
  <si>
    <t>SEVROLL Prosper II úch.lišta 2,7m strieborná</t>
  </si>
  <si>
    <t>SEVROLL profil "U" pro lamino 18mm 3m stříbrná</t>
  </si>
  <si>
    <t>SEVROLL profil "U" pre DTD 18mm 3m striebor</t>
  </si>
  <si>
    <t>SEVROLL profil "U" pro lamino 18mm 3m oliva</t>
  </si>
  <si>
    <t>SEVROLL profil "U" Decor 18mm 3m stříbrná</t>
  </si>
  <si>
    <t>SEVROLL profil "U" Decor 18mm 3m strieborná</t>
  </si>
  <si>
    <t>SEVROLL Polo úchytová lišta 10mm 2,70m stříbrná</t>
  </si>
  <si>
    <t>SEVROLL Polo úch.lišta 10mm 2,70m strieborná</t>
  </si>
  <si>
    <t>SEVROLL Pax záslepka profilu (4 ks) stříbrná</t>
  </si>
  <si>
    <t>SEVROLL Pax záslepka profilu (4ks) strieb</t>
  </si>
  <si>
    <t>SEVROLL Pax výztuha 3m stříbrná</t>
  </si>
  <si>
    <t>SEVROLL Pax výstuha 3m strieb</t>
  </si>
  <si>
    <t>SEVROLL Pax úchytová lišta 2,7m stříbrná</t>
  </si>
  <si>
    <t>SEVROLL Pax úch.lišta 2,7 strieborná</t>
  </si>
  <si>
    <t>SEVROLL Pax spodní krycí lišta 3m stříbrná</t>
  </si>
  <si>
    <t>SEVROLL Pax spodná krycia lišta 3m stireb</t>
  </si>
  <si>
    <t>SEVROLL Pax nalepovací úchytka stříbrná</t>
  </si>
  <si>
    <t>SEVROLL Pax nalepovacia úchytka strieborná</t>
  </si>
  <si>
    <t>SEVROLL Pax nalepovací úchytka bílá</t>
  </si>
  <si>
    <t>SEVROLL Pax nalepovacia úchytka biela</t>
  </si>
  <si>
    <t>SEVROLL Pax horní vodící lišta 3m stříbrná</t>
  </si>
  <si>
    <t>SEVROLL Pax horná vodiaca lišta 3m stieb</t>
  </si>
  <si>
    <t>SEVROLL okrasná lišta S20 3m stříbrná</t>
  </si>
  <si>
    <t>SEVROLL okrasná lišta S20 3m strieborná</t>
  </si>
  <si>
    <t>SEVROLL okrasná lišta S20 3m oliva</t>
  </si>
  <si>
    <t>SEVROLL okrasná lišta S10 3m stříbrná</t>
  </si>
  <si>
    <t>SEVROLL okrasná lišta S10 3m strieborná</t>
  </si>
  <si>
    <t>SEVROLL okrasná lišta S10 3m oliva</t>
  </si>
  <si>
    <t>SEVROLL Oaza II úchytová lišta 2,7m stříbrná</t>
  </si>
  <si>
    <t>SEVROLL Oaza II úch.lišta 2,7m strieborná</t>
  </si>
  <si>
    <t>SEVROLL Oaza II úchytová lišta 2,7m oliva</t>
  </si>
  <si>
    <t>SEVROLL Oaza II úch. Lišta 2,7m oliva</t>
  </si>
  <si>
    <t>SEVROLL montážní přípravek pro systém Maxim malý</t>
  </si>
  <si>
    <t>SEVROLL montážny prípravok pre systém Maxim malý</t>
  </si>
  <si>
    <t>SEVROLL montážní přípravek pro lamino 10mm malý</t>
  </si>
  <si>
    <t>SEVROLL Minicomfort II úchytová lišta 2,7m stříbrná</t>
  </si>
  <si>
    <t>SEVROLL Minicomfort II úch.lišta 2,7m str.</t>
  </si>
  <si>
    <t>SEVROLL Micra šablona pro vozíky</t>
  </si>
  <si>
    <t>SEVROLL Micra šablona pre vozíky</t>
  </si>
  <si>
    <t>SEVROLL Micra sada kování pro 1 křídlo</t>
  </si>
  <si>
    <t>SEVROLL Micra sada kov. pre 1 krídlo</t>
  </si>
  <si>
    <t>SEVROLL Micra horní/spodní vedení 3m surová</t>
  </si>
  <si>
    <t>SEVROLL Micra horné/spod.vedenie 3m surová</t>
  </si>
  <si>
    <t>SEVROLL Micra horní/spodní vedení 3m střibrná elox</t>
  </si>
  <si>
    <t>SEVROLL Micra horné/spod.vedenie 3m str.elox</t>
  </si>
  <si>
    <t>SEVROLL Micra horní/spodní vedení 2,35m surová</t>
  </si>
  <si>
    <t>SEVROLL Micra horné/spod.vedenie 2,35m surov</t>
  </si>
  <si>
    <t>SEVROLL Micra horní/spodní vedení 2,35m stříbrný elox</t>
  </si>
  <si>
    <t>SEVROLL Micra hor/spod.vedenie 2,35m str.elo</t>
  </si>
  <si>
    <t>SEVROLL Micra horní/spodní vedení 1,7m surová</t>
  </si>
  <si>
    <t>SEVROLL Micra horné/spod.vedenie 1,7m surová</t>
  </si>
  <si>
    <t>SEVROLL Micra horní/spodní vedení 1,7m stříbrný elox</t>
  </si>
  <si>
    <t>SEVROLL Micra horn/spod.vedenie 1,7m str.elo</t>
  </si>
  <si>
    <t>SEVROLL Micra brzda (2ks v balení)</t>
  </si>
  <si>
    <t>SEVROLL Maxim vodící lišta 4,3m stříbrná</t>
  </si>
  <si>
    <t>SEVROLL Maxim vodící lišta 3,5m stříbrná</t>
  </si>
  <si>
    <t>SEVROLL Maxim vodící lišta 2,5m stříbrná</t>
  </si>
  <si>
    <t>SEVROLL Maxim vod. Lišta 2,5m strieborná</t>
  </si>
  <si>
    <t>SEVROLL Maxim spojovací lišta H25 2,5m stříbrná</t>
  </si>
  <si>
    <t>SEVROLL-SPOJ.LIŠTA H25 2,5M str.</t>
  </si>
  <si>
    <t>SEVROLL Maxim spojovací lišta H18 2,5m stříbrná</t>
  </si>
  <si>
    <t>SEVROLL Maxim spodní krycí lišta 4,3m stříbrná</t>
  </si>
  <si>
    <t>SEVROLL Maxim spod.krycia lišta 4,3m strieborná</t>
  </si>
  <si>
    <t>SEVROLL Maxim spodní krycí lišta 3,5m stříbrná</t>
  </si>
  <si>
    <t>SEVROLL Maxim spod.krycia lišta 3,5m strieborná</t>
  </si>
  <si>
    <t>SEVROLL Maxim spodní krycí lišta 2,5m stříbrná</t>
  </si>
  <si>
    <t>SEVROLL Maxim spod.krycia lišta 2,5m strieborná</t>
  </si>
  <si>
    <t>SEVROLL Maxim sada lišt pro 3 dveře 2,5m stříbrná</t>
  </si>
  <si>
    <t>SEVROLL Maxim sada líšt pre 3 dv. 2,5m str.</t>
  </si>
  <si>
    <t>SEVROLL Maxim sada lišt pro 2 dveře 1,8m stříbrná</t>
  </si>
  <si>
    <t>SEVROLL Maxim sada líšt pre 2 dv.1,8m str.</t>
  </si>
  <si>
    <t>SEVROLL Maxim sada kování pro 3 dveře 2,5m stříbrná</t>
  </si>
  <si>
    <t>SEVROLL Maxim sada kov. pre 3 dv. 2,5m strč</t>
  </si>
  <si>
    <t>SEVROLL Maxim sada kování pro 2 dveře 1,8m stříbrná</t>
  </si>
  <si>
    <t>SEVROLL Maxim sada kov. Pr 2.dv. 1,8m str.</t>
  </si>
  <si>
    <t>SEVROLL Maxim II spodní vedení 4,3m stříbrná</t>
  </si>
  <si>
    <t>SEVROLL Maxim II spodní vedení 3,5m stříbrná</t>
  </si>
  <si>
    <t>SEVROLL Maxim II spodní vedení 2,5m stříbrná</t>
  </si>
  <si>
    <t>SEVROLL Maxim II spodné vedenie 2,5m str.</t>
  </si>
  <si>
    <t>SEVROLL Maxim II maska 4,3m stříbrná</t>
  </si>
  <si>
    <t>SEVROLL Maxim II maska 4,3m strieborná</t>
  </si>
  <si>
    <t>SEVROLL Maxim II maska 3,5m stříbrná</t>
  </si>
  <si>
    <t>SEVROLL-MAXIM II MASKA 3,5 M strieborná</t>
  </si>
  <si>
    <t>SEVROLL Maxim II maska 2,5m stříbrná</t>
  </si>
  <si>
    <t>SEVROLL Maxim II maska 2,5m strieborná</t>
  </si>
  <si>
    <t>SEVROLL Maxim horní vozík 18mm asymetrický - 2ks</t>
  </si>
  <si>
    <t>SEVROLL Maxim horní vozík 18mm asym 2ks</t>
  </si>
  <si>
    <t>SEVROLL Maxim horní vozík 18mm - 2ks</t>
  </si>
  <si>
    <t>SEVROLL Maxim horný vozík 18mm - 2ks</t>
  </si>
  <si>
    <t>SEVROLL Maxim horní vedení 4,3m stříbrná</t>
  </si>
  <si>
    <t>SEVROLL Maxim horní vedení 3,5m stříbrná</t>
  </si>
  <si>
    <t>SEVROLL Maxim horní vedení 2,5m stříbrná</t>
  </si>
  <si>
    <t>SEVROLL Maxim horné vedenie 2,5m str.</t>
  </si>
  <si>
    <t>SEVROLL Maxim board horní vozík 18mm - 2ks</t>
  </si>
  <si>
    <t>SEVROLL Maxim board horný vozík 18mm - 2ks</t>
  </si>
  <si>
    <t>SEVROLL Master úchytová lišta 3m stříbrná</t>
  </si>
  <si>
    <t>SEVROLL Master úch.lišta 3m strieborná</t>
  </si>
  <si>
    <t>SEVROLL Master horní vozík 10mm - 2ks</t>
  </si>
  <si>
    <t>SEVROLL Master horný vozík 10mm - 2ks</t>
  </si>
  <si>
    <t>SEVROLL maska Elegant II 6m stříbrná</t>
  </si>
  <si>
    <t>SEV-zaślepka Elegant II 6m srebrna</t>
  </si>
  <si>
    <t>SEVROLL maska Elegant II 6m oliva</t>
  </si>
  <si>
    <t>SEVROLL maska Elegant II 4,05m oliva kartáčovaná</t>
  </si>
  <si>
    <t>SEV-zaślepka Elegant II 4,05 j.brąz szczot.</t>
  </si>
  <si>
    <t>SEVROLL maska Elegant II 4,05m oliva</t>
  </si>
  <si>
    <t>SEVROLL maska Elegant II 4,05m černá kartáčovaná</t>
  </si>
  <si>
    <t>SEV-zaślepka Elegant II 4,05. czarna szczot.</t>
  </si>
  <si>
    <t>SEVROLL maska Elegant II 4,05m čierna kartáčovaná</t>
  </si>
  <si>
    <t>SEVROLL maska Elegant II 4,05m bílá lesk</t>
  </si>
  <si>
    <t>SEV-zaślepka Elegant II 4,05 biały błysz.</t>
  </si>
  <si>
    <t>SEVROLL maska Elegant II 4,05m biela lesk</t>
  </si>
  <si>
    <t>SEVROLL maska Elegant II 3m oliva kartáčovaná</t>
  </si>
  <si>
    <t>SEV-zaślepka Elegant II 3m j.brąz szczot.</t>
  </si>
  <si>
    <t>SEVROLL maska Elegant II 3m oliva</t>
  </si>
  <si>
    <t>SEVROLL maska Elegant II 3m černá kartáčovaná</t>
  </si>
  <si>
    <t>SEV-zaślepka Elegant II 3m czarny szczot.</t>
  </si>
  <si>
    <t>SEVROLL maska Elegant II 3m čierna kartáčovaná</t>
  </si>
  <si>
    <t>SEVROLL maska Elegant II 3m bílá lesk</t>
  </si>
  <si>
    <t>SEV-zaślepka Elegant II 3m biały błyszcz.</t>
  </si>
  <si>
    <t>SEVROLL maska Elegant II 3m biela lesk</t>
  </si>
  <si>
    <t>SEVROLL maska Elegant II 2,35m oliva kartáčovaná</t>
  </si>
  <si>
    <t>SEV-zaślepka Elegant II 2,35m j.brąz szczot.</t>
  </si>
  <si>
    <t>SEVROLL maska Elegant II 2,35m oliva</t>
  </si>
  <si>
    <t>SEV-zaślepka Elegant II 2,35m oliwa</t>
  </si>
  <si>
    <t>SEVROLL maska Elegant II 2,35m černá kartáčovaná</t>
  </si>
  <si>
    <t>SEV-zaślepka Elegant II 2,35m czarny szczot.</t>
  </si>
  <si>
    <t>SEVROLL maska Elegant II 2,35m čierna kartáčovaná</t>
  </si>
  <si>
    <t>SEVROLL maska Elegant II 2,35m bílá lesk</t>
  </si>
  <si>
    <t>SEVROLL maska ??Elegant II 2,35m biela lesk</t>
  </si>
  <si>
    <t>SEVROLL maska Elegant II 1,7m oliva kartáčovaná</t>
  </si>
  <si>
    <t>SEV-zaślepka Elegant II 1,7m j.brąz szczot.</t>
  </si>
  <si>
    <t>SEVROLL maska Elegant II 1,7m oliva</t>
  </si>
  <si>
    <t>SEV-zaślepka Elegant II 1,7m oliwa</t>
  </si>
  <si>
    <t>SEVROLL maska Elegant II 1,7m bílá lesk</t>
  </si>
  <si>
    <t>SEVROLL maska ??Elegant II 1,7m biela lesk</t>
  </si>
  <si>
    <t>SEVROLL krycí profil Galaxy 3m</t>
  </si>
  <si>
    <t>SEVROLL krycí profil Galaxy 2m</t>
  </si>
  <si>
    <t>SEVROLL koncovka k liště Hide N stříbrná</t>
  </si>
  <si>
    <t>SEVROLL koncovka k lište Hide N strieborná</t>
  </si>
  <si>
    <t>SEVROLL klínek pro lamino tloušťka 2mm (100 ks)</t>
  </si>
  <si>
    <t>SEV-ék laminóhoz (100 ks) va. 2mm</t>
  </si>
  <si>
    <t>SEVROLL klin pre lamino (100 ks) tl. 2mm</t>
  </si>
  <si>
    <t>SEVROLL Karat úchytová lišta 2,7m stříbrná</t>
  </si>
  <si>
    <t>SEVROLL Karat úch.lišta 2,7m str</t>
  </si>
  <si>
    <t>SEVROLL Julia II úchytová lišta 2,7m stříbrná</t>
  </si>
  <si>
    <t>SEVROLL Julia II úch.lišta 2,7m strieborná</t>
  </si>
  <si>
    <t>SEVROLL Julia II úchytová lišta 2,7m oliva</t>
  </si>
  <si>
    <t>SEVROLL Julia II úch.lišta 2,7m oliva</t>
  </si>
  <si>
    <t>SEVROLL horní vozík Simple 18mm symetrický L+P</t>
  </si>
  <si>
    <t>SEVROLL horný vozík Simple(18mm)symetr.(L+P)</t>
  </si>
  <si>
    <t>SEVROLL horní vozík Simple (pro lamino 18mm) bezrámový L+P</t>
  </si>
  <si>
    <t>SEVROLL horný vozík Simple (18mm) bezrámový</t>
  </si>
  <si>
    <t>SEVROLL horní vozík Blue 10mm symetrický L+P</t>
  </si>
  <si>
    <t>SEVROLL horný vozík Blue 10mm symetrický (L+</t>
  </si>
  <si>
    <t>SEVROLL horní vozík Blue 10mm asymetrický L+P</t>
  </si>
  <si>
    <t>SEVROLL horný vozík Blue 10mm asymetrický (L</t>
  </si>
  <si>
    <t>SEVROLL horní vozík 10mm asymetrický L+P</t>
  </si>
  <si>
    <t>SEVROLL horný vozík 10mm asymetr.(L+P)</t>
  </si>
  <si>
    <t>SEVROLL horní vodící lišta Simple/Blue 3m (pro lamino 18mm) oliva</t>
  </si>
  <si>
    <t>SEVROLL horná vodiaca lišta Simple/Blue 3m(</t>
  </si>
  <si>
    <t>SEVROLL horní vodící lišta Simple/Blue 3m (pro lamino 10mm) stříbrná</t>
  </si>
  <si>
    <t>SEV-felső sín Simple/Blue 3m (10mm) ezüst</t>
  </si>
  <si>
    <t>SEV-List.poz.gór./łącz.Simple/Blue 10 sreb.3m</t>
  </si>
  <si>
    <t>SEVROLL horná vod.lišta Simple/Blue 3m(10mm)str.</t>
  </si>
  <si>
    <t>SEVROLL horní vodící lišta Simple/Blue 2m (pro lamino 18mm) stříbrná</t>
  </si>
  <si>
    <t>SEVROLL hor.vod.lišta Simple/Blue 2m(18mm) s</t>
  </si>
  <si>
    <t>SEVROLL horní vodící lišta Simple/Blue 2m (pro lamino 18mm) oliva</t>
  </si>
  <si>
    <t>SEVROLL horná vodiaca lišta Simple/Blue 2m (</t>
  </si>
  <si>
    <t>SEVROLL horní vodící lišta Simple/Blue 2m (pro lamino 10mm) stříbrná</t>
  </si>
  <si>
    <t>SEV-felső sín Simple/Blue 2m (10mm) ezüst</t>
  </si>
  <si>
    <t>SEV-List.poz.gór./łącz.Simple/Blue 10 sreb.2m</t>
  </si>
  <si>
    <t>SEVROLL hor.vod.lišta Simple/Blue 2m(10mm)str.</t>
  </si>
  <si>
    <t>SEVROLL horní vodící lišta Simple/Blue 1,5m (pro lamino 18mm) stříbrná</t>
  </si>
  <si>
    <t>SEVROLL hor.vod.lišta Simple/Blue 1,5m(18mm)</t>
  </si>
  <si>
    <t>SEVROLL horní vodící lišta Simple/Blue 1,5m (pro lamino 18mm) oliva</t>
  </si>
  <si>
    <t>SEVROLL horná vodiaca lišta Simple/Blue 1,5m</t>
  </si>
  <si>
    <t>SEVROLL horní vodící lišta Simple/Blue 1,5m (pro lamino 10mm) stříbrná</t>
  </si>
  <si>
    <t>SEV-felső sín Simple/Blue 1,5m (10mm) ezüst</t>
  </si>
  <si>
    <t>SEV-List.poz.gór./łącz.Simple/Blue10 sreb.1,5m</t>
  </si>
  <si>
    <t>SEVROLL hor.vod.lišta Simple/Blue 1,5m(10mm)str.</t>
  </si>
  <si>
    <t>SEVROLL horní vodící lišta 3m stříbrná</t>
  </si>
  <si>
    <t>SEVROLL horní vodící lišta 3m oliva kartáčovaná</t>
  </si>
  <si>
    <t>SEVROLL horná vodiaca lišta 3m oliva kartáč.</t>
  </si>
  <si>
    <t>SEVROLL horní vodící lišta 3m oliva</t>
  </si>
  <si>
    <t>SEVROLL horní vodící lišta 3m černá kartáčovaná</t>
  </si>
  <si>
    <t>SEVROLL VODIACA LIŠTA 3M čierna KARTÁČ.</t>
  </si>
  <si>
    <t>SEVROLL horní vodící lišta 3m bílá lesk</t>
  </si>
  <si>
    <t>SEVROLL horná vodiaca lišta 3m biela lesk</t>
  </si>
  <si>
    <t>SEVROLL horní vodící lišta 2,35m stříbrná</t>
  </si>
  <si>
    <t>SEVROLL horní vodící lišta 2,35m oliva kartáčovaná</t>
  </si>
  <si>
    <t>SEVROLL horná vodiaca lišta 2,35m oliva kart</t>
  </si>
  <si>
    <t>SEVROLL horní vodící lišta 2,35m oliva</t>
  </si>
  <si>
    <t>SEVROLL horní vodící lišta 2,35m černá kartáčovaná</t>
  </si>
  <si>
    <t>SEVROLL VODIACA LIŠTA 2,35M čierna KARTÁČ</t>
  </si>
  <si>
    <t>SEVROLL horní vodící lišta 2,35m bílá lesk</t>
  </si>
  <si>
    <t>SEVROLL horná vod.lišta 2,35m biela lesk</t>
  </si>
  <si>
    <t>SEVROLL horní vodící lišta 1,7m stříbrná</t>
  </si>
  <si>
    <t>SEVROLL horní vodící lišta 1,7m oliva kartáčovaná</t>
  </si>
  <si>
    <t>SEVROLL horná vodiaca lišta 1,7m oliva kart</t>
  </si>
  <si>
    <t>SEVROLL horní vodící lišta 1,7m oliva</t>
  </si>
  <si>
    <t>SEVROLL horní vodící lišta 1,7m bílá lesk</t>
  </si>
  <si>
    <t>SEVROLL horná vodiaca lišta 1,7m biela les</t>
  </si>
  <si>
    <t>SEVROLL Hide N spodní vedení 3m stříbrná</t>
  </si>
  <si>
    <t>SEVROLL Hide N spodné vedenie Hide N 3m stri</t>
  </si>
  <si>
    <t>SEVROLL Hide M spodní vedení 3m stříbrná</t>
  </si>
  <si>
    <t>SEVROLL Hide M spodné vedenie Hide M 3m stri</t>
  </si>
  <si>
    <t>SEVROLL Gemini-2 úchytová lišta 2,7m stříbrná</t>
  </si>
  <si>
    <t>SEVROLL Gemini-2 úch.lišta 2,7m strieborná</t>
  </si>
  <si>
    <t>SEVROLL Gemini-2 úchytová lišta 2,7m oliva</t>
  </si>
  <si>
    <t>SEVROLL Gemini-2 úch.lišta 2,7m oliva</t>
  </si>
  <si>
    <t>SEVROLL Gemini II spodní vedení 6m stříbrná</t>
  </si>
  <si>
    <t>SEV-Gemini II alsó sín 6m ezüst</t>
  </si>
  <si>
    <t>SEVROLL Gemini spodné vedenie 6m strieborná</t>
  </si>
  <si>
    <t>SEVROLL Gemini II spodní vedení 6m oliva</t>
  </si>
  <si>
    <t>SEV-Gemini II alsó sín 6m oliva</t>
  </si>
  <si>
    <t>SEVROLL Gemini spodné vedenie 6m oliva</t>
  </si>
  <si>
    <t>SEVROLL Gemini II spodní vedení 4,05m stříbrná</t>
  </si>
  <si>
    <t>SEV-Gemini II alsó sín 4,05m ezüst</t>
  </si>
  <si>
    <t>SEVROLL Gemini spodné vedenie 4,05m striebor</t>
  </si>
  <si>
    <t>SEVROLL Gemini II spodní vedení 4,05m oliva</t>
  </si>
  <si>
    <t>SEV-Gemini II alsó sín 4,05m oliva</t>
  </si>
  <si>
    <t>SEVROLL Gemini spodné vedenie 4,05m oliva</t>
  </si>
  <si>
    <t>SEVROLL Gemini II spodní vedení 3m stříbrná</t>
  </si>
  <si>
    <t>SEV-Gemini II alsó sín 3m ezüst</t>
  </si>
  <si>
    <t>SEVROLL Gemini II spodní vedení 3m oliva</t>
  </si>
  <si>
    <t>SEV-Gemini II alsó sín 3m oliva</t>
  </si>
  <si>
    <t>SEVROLL Gemini spodné vedenie 3m oliva</t>
  </si>
  <si>
    <t>SEVROLL Gemini II spodní vedení 2,35m stříbrná</t>
  </si>
  <si>
    <t>SEV-Gemini II alsó sín 2,35m ezüst</t>
  </si>
  <si>
    <t>SEVROLL Gemini spodné vedenie 2,35m striebor</t>
  </si>
  <si>
    <t>SEVROLL Gemini II spodní vedení 2,35m oliva</t>
  </si>
  <si>
    <t>SEV-Gemini II alsó sín 2,35m oliva</t>
  </si>
  <si>
    <t>SEVROLL Gemini spodné vedenie 2,35m oliva</t>
  </si>
  <si>
    <t>SEVROLL Gemini II spodní vedení 1,7m stříbrná</t>
  </si>
  <si>
    <t>SEV-Gemini II alsó sín 1,7m ezüst</t>
  </si>
  <si>
    <t>SEVROLL Gemini II spodní vedení 1,7m oliva</t>
  </si>
  <si>
    <t>SEV-Gemini II alsó sín 1,7m oliva</t>
  </si>
  <si>
    <t>SEVROLL Gemini spodné vedenie 1,7m oliva</t>
  </si>
  <si>
    <t>SEVROLL Gemini horní vedení 6m stříbrná</t>
  </si>
  <si>
    <t>SEVROLL Gemini horné vedenie 6m strieborná</t>
  </si>
  <si>
    <t>SEVROLL Gemini horní vedení 6m oliva</t>
  </si>
  <si>
    <t>SEVROLL Gemini horné vedenie 6m oliva</t>
  </si>
  <si>
    <t>SEVROLL Gemini horní vedení 4,05m oliva kartáčovaná</t>
  </si>
  <si>
    <t>SEVROLL Gemini horní vedení 4,05m oliva</t>
  </si>
  <si>
    <t>SEVROLL Gemini horní vedení 4,05m černá kartáčovaná</t>
  </si>
  <si>
    <t>SEVROLL Gemini horné vedenie 4,05m čierna ka</t>
  </si>
  <si>
    <t>SEVROLL Gemini horní vedení 4,05m bílá lesk</t>
  </si>
  <si>
    <t>SEVROLL Gemini horné vedenie 4,05m biela les</t>
  </si>
  <si>
    <t>SEVROLL Gemini horní vedení 3m oliva kartáčovaná</t>
  </si>
  <si>
    <t>SEVROLL Gemini horní vedení 3m oliva</t>
  </si>
  <si>
    <t>SEVROLL Gemini horné vedenie 3m oliva</t>
  </si>
  <si>
    <t>SEVROLL Gemini horní vedení 3m černá kartáčovaná</t>
  </si>
  <si>
    <t>SEVROLL Gemini horné vedenie 3m čierna kartá</t>
  </si>
  <si>
    <t>SEVROLL Gemini horní vedení 3m bílá lesk</t>
  </si>
  <si>
    <t>SEVROLL Gemini horné vedenie 3m biela lesk</t>
  </si>
  <si>
    <t>SEVROLL Gemini horní vedení 2,35m oliva kartáčovaná</t>
  </si>
  <si>
    <t>SEVROLL Gemini horní vedení 2,35m oliva</t>
  </si>
  <si>
    <t>SEVROLL Gemini horné vedenie 2,35m oliva</t>
  </si>
  <si>
    <t>SEVROLL Gemini horní vedení 2,35m černá kartáčovaná</t>
  </si>
  <si>
    <t>SEVROLL Gemini horné vedenie 2,35m čierna ka</t>
  </si>
  <si>
    <t>SEVROLL Gemini horní vedení 2,35m bílá lesk</t>
  </si>
  <si>
    <t>SEVROLL Gemini horné vedenie 2,35 biela lesk</t>
  </si>
  <si>
    <t>SEVROLL Gemini horní vedení 1,7m stříbrná</t>
  </si>
  <si>
    <t>SEVROLL Gemini horné vedenie 1,7m strieborná</t>
  </si>
  <si>
    <t>SEVROLL Gemini horní vedení 1,7m oliva kartáčovaná</t>
  </si>
  <si>
    <t>SEVROLL Gemini horní vedení 1,7m oliva</t>
  </si>
  <si>
    <t>SEVROLL Gemini horné vedenie 1,7m oliva</t>
  </si>
  <si>
    <t>SEVROLL Gemini horní vedení 1,7m bílá lesk</t>
  </si>
  <si>
    <t>SEVROLL Gemini horné vedenie 1,7m biela lesk</t>
  </si>
  <si>
    <t>SEVROLL Future II úchytová lišta 3,5m stříbrná</t>
  </si>
  <si>
    <t>SEVROLL Future II úchytová lišta 2,7m stříbrná</t>
  </si>
  <si>
    <t>SEVROLL Future II úch.lišta 2,7m strieborná</t>
  </si>
  <si>
    <t>SEVROLL Future horní vozík 10mm L+P</t>
  </si>
  <si>
    <t>SEVROLL Future horný vozík 10mm (ľavý+pravý)</t>
  </si>
  <si>
    <t>SEVROLL Fox II úchytová lišta 2,7m stříbrná</t>
  </si>
  <si>
    <t>SEVROLL Fox II úch.lišta 2,7m strieborná</t>
  </si>
  <si>
    <t>SEVROLL Fox II úchytová lišta 2,7m oliva kartáčovaná</t>
  </si>
  <si>
    <t>SEVROLL Fox II úch.lišta 2,7m oliva kartáč.</t>
  </si>
  <si>
    <t>SEVROLL Fox II úchytová lišta 2,7m oliva</t>
  </si>
  <si>
    <t>SEVROLL Fox II úchytová lišta 2,7m černá kartáčovaná</t>
  </si>
  <si>
    <t>SEVROLL Fox II úch.lišta 2,7m čierna kartáč.</t>
  </si>
  <si>
    <t>SEVROLL Fox II úchytová lišta 2,7m bílá lesk</t>
  </si>
  <si>
    <t>SEVROLL Fox II úch.lišta 2,7m biela lesk</t>
  </si>
  <si>
    <t>SEVROLL Focus II 18mm úchytová lišta 2,7m stříbrná</t>
  </si>
  <si>
    <t>SEVROLL Focus II 18mm úch.lišta 2,7m strieb</t>
  </si>
  <si>
    <t>SEVROLL Focus II 18mm úchytová lišta 2,7m oliva</t>
  </si>
  <si>
    <t>SEVROLL Focus II 18mm úch.lišta 2,7m oliva</t>
  </si>
  <si>
    <t>SEVROLL Focus horní vozík 18mm 2ks</t>
  </si>
  <si>
    <t>SEVROLL Focus horný vozík 18mm - 2ks</t>
  </si>
  <si>
    <t>SEVROLL Focus 18mm úchytová lišta 2,7m stříbrná</t>
  </si>
  <si>
    <t>SEVROLL Focus 18mm úch.lišta 2,7m strieborná</t>
  </si>
  <si>
    <t>SEVROLL Faworyt II úchytová lišta 2,7m stříbrná</t>
  </si>
  <si>
    <t>SEVROLL Faworyt II úch.lišta 2,7m strieborná</t>
  </si>
  <si>
    <t>SEVROLL Faworyt II úchytová lišta 2,7m bílá lesk</t>
  </si>
  <si>
    <t>SEVROLL Faworyt II úch.liš.2,7m biela lesk</t>
  </si>
  <si>
    <t>SEVROLL Fala úchytová lišta 10mm 2,70m stříbrná</t>
  </si>
  <si>
    <t>SEVROLL Fala úch.lišta 10mm 2,70m strieborná</t>
  </si>
  <si>
    <t>SEVROLL Factor 18 II úchytová lišta 2,7m oliva</t>
  </si>
  <si>
    <t>SEVROLL Everest vozík pro šikmé křídlo - 2ks</t>
  </si>
  <si>
    <t>SEVROLL Everest vozík pre šikmé krídlo - 2ks</t>
  </si>
  <si>
    <t>SEVROLL Everest vodící lišta 3m stříbrná</t>
  </si>
  <si>
    <t>SEVROLL Everest vodiaca lišta 3m strieborná</t>
  </si>
  <si>
    <t>SEVROLL Everest sada pro úchytovou lištu Fox II</t>
  </si>
  <si>
    <t>SEVROLL Everest sada pre úch.lištu Fox II</t>
  </si>
  <si>
    <t>SEVROLL Ergo úchytová lišta 2,7m stříbrná</t>
  </si>
  <si>
    <t>SEVROLL Ergo úchytová lišta 2,7m oliva</t>
  </si>
  <si>
    <t>SEVROLL Era úchytová lišta 18mm 2,70m oliva</t>
  </si>
  <si>
    <t>SEVROLL Elegant II spodní vedení 6m stříbrná</t>
  </si>
  <si>
    <t>SEVROLL Elegant II spodní vedení 6m oliva</t>
  </si>
  <si>
    <t>SEVROLL Elegant II spodní vedení 4,05m oliva kartáčovaná</t>
  </si>
  <si>
    <t>SEVROLL Elegant II sp.ved.4,05m oliva kartáč</t>
  </si>
  <si>
    <t>SEVROLL Elegant II spodní vedení 4,05m oliva</t>
  </si>
  <si>
    <t>SEVROLL Elegant spodné vedenie 4,05m oliva</t>
  </si>
  <si>
    <t>SEVROLL Elegant II spodní vedení 4,05m černá kartáčovaná</t>
  </si>
  <si>
    <t>SEVROLL Elegant sp.ved.4,05m čierna kartáč.</t>
  </si>
  <si>
    <t>SEVROLL Elegant II spodní vedení 4,05m bílá lesk</t>
  </si>
  <si>
    <t>SEVROLL Elegant spod.ved.4,05m biela lesk</t>
  </si>
  <si>
    <t>SEVROLL Elegant II spodní vedení 3m oliva kartáčovaná</t>
  </si>
  <si>
    <t>SEVROLL Elegant II sp.ved.3m oliva kartáč.</t>
  </si>
  <si>
    <t>SEVROLL Elegant II spodní vedení 3m oliva</t>
  </si>
  <si>
    <t>SEVROLL Elegant spodné vedenie 3m oliva</t>
  </si>
  <si>
    <t>SEVROLL Elegant II spodní vedení 3m černá kartáčovaná</t>
  </si>
  <si>
    <t>SEVROLL Elegant sp.ved.3m čierna kartáč.</t>
  </si>
  <si>
    <t>SEVROLL Elegant II spodní vedení 3m bílá lesk</t>
  </si>
  <si>
    <t>SEVROLL Elegant spod.vedenie 3m biela lesk</t>
  </si>
  <si>
    <t>SEVROLL Elegant II spodní vedení 2,35m oliva kartáčovaná</t>
  </si>
  <si>
    <t>SEVROLL Elegant II sp.ved.2,35m oliva kartáčovaná</t>
  </si>
  <si>
    <t>SEVROLL Elegant II spodní vedení 2,35m oliva</t>
  </si>
  <si>
    <t>SEVROLL Elegant spodné vedenie 2,35m oliva</t>
  </si>
  <si>
    <t>SEVROLL Elegant II spodní vedení 2,35m černá kartáčovaná</t>
  </si>
  <si>
    <t>SEVROLL Elegant sp.ved.2,35m čierna kartáč.</t>
  </si>
  <si>
    <t>SEVROLL Elegant II spodní vedení 2,35m bílá lesk</t>
  </si>
  <si>
    <t>SEVROLL Elegant spod.ved. 2,35m biela lesk</t>
  </si>
  <si>
    <t>SEVROLL Elegant II spodní vedení 1,7m oliva kartáčovaná</t>
  </si>
  <si>
    <t>SEVROLL Elegant sp.ved.1,7m oliva kartáčovaná</t>
  </si>
  <si>
    <t>SEVROLL Elegant II spodní vedení 1,7m oliva</t>
  </si>
  <si>
    <t>SEV-Elegant II tor dolny 1,7m oliwa</t>
  </si>
  <si>
    <t>SEVROLL Elegant II spodní vedení 1,7m bílá lesk</t>
  </si>
  <si>
    <t>SEVROLL Elegant sp.ved. 1,7m biela lesk</t>
  </si>
  <si>
    <t>SEVROLL Doubler II spodní vedení 3m stříbrná</t>
  </si>
  <si>
    <t>SEVROLL Doubler II spodné vedenie 3m str.</t>
  </si>
  <si>
    <t>SEVROLL Doubler II spodní vedení 2,35m stříbrná</t>
  </si>
  <si>
    <t>SEVROLL Doubler II spodné vedenie 2,35m str.</t>
  </si>
  <si>
    <t>SEVROLL Doubler II maska 3m stříbrná</t>
  </si>
  <si>
    <t>SEVROLL Doubler II maska 3m strieborná</t>
  </si>
  <si>
    <t>SEVROLL Doubler II maska 2,35m stříbrná</t>
  </si>
  <si>
    <t>SEVROLL Doubler II maska 2,35m stieborná</t>
  </si>
  <si>
    <t>SEVROLL dorazový kartáč zásuvný 4,8x4mm bílý</t>
  </si>
  <si>
    <t>SEVROLL dorazový kartáč zásuvný 4,8x4mm biel</t>
  </si>
  <si>
    <t>SEVROLL dorazový kartáč zásuvný 14,5x4mm bílý</t>
  </si>
  <si>
    <t>SEVROLL doraz.kratáč zásuvný biely 14,5x4mm</t>
  </si>
  <si>
    <t>SEVROLL dorazový kartáč samolepící 4,8x4mm</t>
  </si>
  <si>
    <t>SEVROLL dorazový kartáč samolep. 4,8x4mm</t>
  </si>
  <si>
    <t>SEVROLL Comfort horní vozík 18mm - 2ks</t>
  </si>
  <si>
    <t>SEVROLL Comfort horný vozík 18mm - 2ks</t>
  </si>
  <si>
    <t>SEVROLL Comfort horní vedení 3m stříbrná</t>
  </si>
  <si>
    <t>SEVROLL Comfort horné vedenie 3m strieborné</t>
  </si>
  <si>
    <t>SEVROLL Comfort horní vedení 2,35m stříbrná</t>
  </si>
  <si>
    <t>SEVROLL Comfort horné vedenie 2,35m strieborná</t>
  </si>
  <si>
    <t>SEVROLL Comfort 18 II úchytová lišta 2,7m stříbrná</t>
  </si>
  <si>
    <t>SEVROLL Comfort 18 II úch.lišta 2,7m str,</t>
  </si>
  <si>
    <t>SEVROLL brzda k liště Hide N a M</t>
  </si>
  <si>
    <t>SEVROLL brzda k lište Hide N a M</t>
  </si>
  <si>
    <t>SEVROLL Blue-V spodní vedení 4m oliva</t>
  </si>
  <si>
    <t>SEVROLL Blue-V spodné vedenie 4m oliva</t>
  </si>
  <si>
    <t>SEVROLL Blue-V spodní vedení 3m oliva</t>
  </si>
  <si>
    <t>SEVROLL Blue-V spodné vedenie 3m oliva</t>
  </si>
  <si>
    <t>SEVROLL Blue-V spodní vedení 2m oliva</t>
  </si>
  <si>
    <t>SEVROLL Blue-V spodné vedenie 2m oliva</t>
  </si>
  <si>
    <t>SEVROLL Blue horní vedení 4m oliva</t>
  </si>
  <si>
    <t>SEVROLL Blue horné vedenie 4m oliva</t>
  </si>
  <si>
    <t>SEVROLL Blue horní vedení 3m oliva</t>
  </si>
  <si>
    <t>SEVROLL Blue horné vedenie 3m oliva</t>
  </si>
  <si>
    <t>SEVROLL Blue horní vedení 2m oliva</t>
  </si>
  <si>
    <t>SEVROLL Blue horné vedenie 2m oliva</t>
  </si>
  <si>
    <t>SEVROLL Beta 18 úchytová lišta 2,70m stříbrná</t>
  </si>
  <si>
    <t>SEVROLL Beta 18 úch.lišta 2,70m strieborná</t>
  </si>
  <si>
    <t>SEVROLL Alfa II úchytová lišta 18mm 2,70m oliva</t>
  </si>
  <si>
    <t>SEVROLL Alfa II úch.lišta 18mm 2,7m oliva</t>
  </si>
  <si>
    <t>SEVROLL Alfa II lišta 18mm 2,7m bílá lesk</t>
  </si>
  <si>
    <t>SEVROLL Alfa II lišta 18mm 2,7m biela lesk</t>
  </si>
  <si>
    <t>K-SEVROLL tlumič dorazu 10/18mm 25-50kg L+P</t>
  </si>
  <si>
    <t>K-SEVROLL tlmič dorazu 10/18mm 25-50kg(L+P)</t>
  </si>
  <si>
    <t>K-SEVROLL tlumič dorazu 10/18mm 14-25kg L+P</t>
  </si>
  <si>
    <t>K-SEVROLL tlmič dorazu 10/18mm 14-25kg(L+P)</t>
  </si>
  <si>
    <t>ASTIN úhelník 3,6m stříbrné (22/1)</t>
  </si>
  <si>
    <t>ASTIN úhelník 2,7m stříbrné (22/1)</t>
  </si>
  <si>
    <t>ASTIN UHOLNÍK 2,7M str. (22/1)</t>
  </si>
  <si>
    <t>ASTIN úhelník 1,8m stříbrné (22/1)</t>
  </si>
  <si>
    <t>ASTIN spojovací H08 profil 3m stříbrný</t>
  </si>
  <si>
    <t>ASTIN spojovací H08 profil 3m strieborná</t>
  </si>
  <si>
    <t>ASTIN spodní vedení 3,6m stříbrné (22/1)</t>
  </si>
  <si>
    <t>ASTIN spodní vedení 2,7m stříbrné (22/1)</t>
  </si>
  <si>
    <t>ASTIN spodní vedení 1,8m stříbrné (22/1)</t>
  </si>
  <si>
    <t>ASTIN Orient úchytová lišta 2,7m stříbrná (32/1)</t>
  </si>
  <si>
    <t>ASTIN Orient úch.lišta 2,7m str. (32/1)</t>
  </si>
  <si>
    <t>ASTIN Lux II úchytová lišta 2,7m stříbrná</t>
  </si>
  <si>
    <t>ASTIN Lux II úch.lišta 2,7m strieborná</t>
  </si>
  <si>
    <t>ASTIN Lux II úchytová lišta 2,7m oliva</t>
  </si>
  <si>
    <t>ASTIN Lux II úch.lišta 2,7m oliva</t>
  </si>
  <si>
    <t>ASTIN horní vedení 3,6m stříbrné (32/1)</t>
  </si>
  <si>
    <t>ASTIN horní vedení 2,7m stříbrné (32/1)</t>
  </si>
  <si>
    <t>ASTIN horní vedení 1,8m stříbrné (32/1)</t>
  </si>
  <si>
    <t>ASTIN Fiona II úchytová lišta 2,7m stříbrná</t>
  </si>
  <si>
    <t>ASTIN Fiona II úch.lišta 2,7m strieborná</t>
  </si>
  <si>
    <t>ASTIN Elegant úchytová lišta 2,7m stříbrná (22/1)</t>
  </si>
  <si>
    <t>ASTIN Elegant úch.lišta 2,7m str. (22/1)</t>
  </si>
  <si>
    <t>ANB-bezpečnostní fólie 500mm/250m transparentní</t>
  </si>
  <si>
    <t>ANB-bezpečnostní fólie 400mm/250m transparentní</t>
  </si>
  <si>
    <t>ANB-bezpečnostní fólie 300mm/250m transparentní</t>
  </si>
  <si>
    <t>ANB-bezpečnostní fólie 250mm/250m transparentní</t>
  </si>
  <si>
    <t>ANB-bezpečnostní fólie 200mm/250m transparentní</t>
  </si>
  <si>
    <t>!!! V prípade použitia centrálneho tlmiča musíte znížiť výšku krídla (len toho, kde je centrálny tlmič umiestnený) o ďalší 4 mm !!!</t>
  </si>
  <si>
    <t>Přecenení 4_2020</t>
  </si>
  <si>
    <t>Systémy:      (vzorkovník profilů objednávejte pod kódem 180245 + 458673)</t>
  </si>
  <si>
    <t>Rendszerek:        A profil minta dobozokat a következő kódon rendelheti: 180245 + 458673</t>
  </si>
  <si>
    <t>Systémy:    Vzorkovník profilov objednávajte pod kódom 180245 + 458673</t>
  </si>
  <si>
    <t>Systemy:       Wzornik profili można zamówić pod kodem 180245 + 458673</t>
  </si>
  <si>
    <t>SEVROLL 20385 držák spodního vedení Gemini</t>
  </si>
  <si>
    <t>SEVROLL 20385 alsó vezető tartó Gemini</t>
  </si>
  <si>
    <t>SEVROLL držiak spodného vedenia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</si>
  <si>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</si>
  <si>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</si>
  <si>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</si>
  <si>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</si>
  <si>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</si>
  <si>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</si>
  <si>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</si>
  <si>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</si>
  <si>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IC-úchytová lišta Rome 10mm alu EU 5,3m stříbrná</t>
  </si>
  <si>
    <t>S-Softclose S30/S42 Slidix T25</t>
  </si>
  <si>
    <t>SEVROLL Tytan úchytová lišta 2,7m RAL1036 lesk</t>
  </si>
  <si>
    <t>SEVROLL Gemini horní vedení 2,35m RAL1036 lesk</t>
  </si>
  <si>
    <t>SEVROLL 20144 vrták stupňovitý 6,5/9,5mm (akce)</t>
  </si>
  <si>
    <t>SEVROLL 20173 montážní přípravek pro lamino 10mm malý (akce)</t>
  </si>
  <si>
    <t>S-kartáč protiprachový vysoký 4,8x12mm šedý</t>
  </si>
  <si>
    <t>IC-10mm lišta svislá široká Classic arktická stříbrná</t>
  </si>
  <si>
    <t>IC-kolejnička horní arktická stříbrná 2m</t>
  </si>
  <si>
    <t>IC-kolejnička dolní arktická stříbrná 2m</t>
  </si>
  <si>
    <t>IC-10mm lišta svislá standard bílá 2,75m</t>
  </si>
  <si>
    <t>IC-kolejnička horní bílá 2m</t>
  </si>
  <si>
    <t>IC-kolejnička spodní bílá 2m</t>
  </si>
  <si>
    <t>IC-10mm lišta vodící bílá 2,4m</t>
  </si>
  <si>
    <t>IC-10mm delící profil bílá 2,75m</t>
  </si>
  <si>
    <t>IC-polohovač posuvných dveří transparentní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</si>
  <si>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</si>
  <si>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</si>
  <si>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</si>
  <si>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</si>
  <si>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</si>
  <si>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</si>
  <si>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</si>
  <si>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EKU 061.3070.371 Eku-Forte 480mm, RAL 7035, nosnost 170 kg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</si>
  <si>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</si>
  <si>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</si>
  <si>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</si>
  <si>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</si>
  <si>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</si>
  <si>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05296 úhelník 17x11mm 1,7m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</si>
  <si>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</si>
  <si>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</si>
  <si>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</si>
  <si>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</si>
  <si>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04418 Pax XL spodní krycí lišta 3m 4mm bílá lesk</t>
  </si>
  <si>
    <t>SEVROLL 04833 Pax XL spodní krycí lišta 3m 4mm černá mat</t>
  </si>
  <si>
    <t>SEVROLL 05301 horní vodící lišta 1,7m černá mat</t>
  </si>
  <si>
    <t>IC-4mm lišta svislá Standard javor UP 2,75m</t>
  </si>
  <si>
    <t>IC-lišta Standard 10mm javor UP 2,75m</t>
  </si>
  <si>
    <t>IC-horní vedení javor 2m</t>
  </si>
  <si>
    <t>IC-spodní vedení javor 2m</t>
  </si>
  <si>
    <t>IC-10mm vodorovná lišta javor 2,4m</t>
  </si>
  <si>
    <t>IC-4mm vodorovná lišta javor 2,4m</t>
  </si>
  <si>
    <t>SEVROLL Maxim horní vedení 3,5m RAL9003 lesk</t>
  </si>
  <si>
    <t>SEVROLL Maxim II spodní vedení 2,5m RAL9003 lesk</t>
  </si>
  <si>
    <t>SEVROLL Maxim II maska 2,5m RAL9003 lesk</t>
  </si>
  <si>
    <t>SEVROLL Maxim vodící išta 3,5m RAL9003 lesk</t>
  </si>
  <si>
    <t>SEVROLL Maxim vodící lišta 2,5m RAL9003 lesk</t>
  </si>
  <si>
    <t>SEVROLL Maxim spodní krycí lišta 2,5m RAL9003 lesk</t>
  </si>
  <si>
    <t>IC-10mm lišta svislá široká Classic buk</t>
  </si>
  <si>
    <t>IC-kolejnička horní buk 3m</t>
  </si>
  <si>
    <t>IC-kolejnička spodní buk 3m</t>
  </si>
  <si>
    <t>IC-10mm vodorovná lišta buk 2,4m</t>
  </si>
  <si>
    <t>SEVROLL vzorky pro HU - Victoria bílá</t>
  </si>
  <si>
    <t>SEVROLL vzorky forbykov II</t>
  </si>
  <si>
    <t>SEVROLL vzorky forbykov III</t>
  </si>
  <si>
    <t>S-Softclose S36 Slidix T25</t>
  </si>
  <si>
    <t>S-Softclose S36 Slidix T40</t>
  </si>
  <si>
    <t>ICSK-zakázka 4.22</t>
  </si>
  <si>
    <t>SEVROLL Gemini úchytová lišta 2,7m RAL9003 lesk</t>
  </si>
  <si>
    <t>SEVROLL Vzorník úchytových lišt 2019 šanon prodej HU</t>
  </si>
  <si>
    <t>S-narážecí profil 28mm 3,5m stříbrný</t>
  </si>
  <si>
    <t>K-Akční set 20x madlo Rekord stříbrná + 10x sada horních a spodních vozíků</t>
  </si>
  <si>
    <t>Šroub pro univerzální komponent na tl. 18 mm, zápustná hlava, (d. 30 mm)</t>
  </si>
  <si>
    <t>Podložka pro šrouby se zápustnou hlavou, nerez</t>
  </si>
  <si>
    <t>S-S45 horní vodící profil 2,5m stříbrný</t>
  </si>
  <si>
    <t>S-profil S30/45 spodní elox 2,5m</t>
  </si>
  <si>
    <t>S-Slidix T40 tlumení k sadě S45 přední</t>
  </si>
  <si>
    <t>S-Slidix T40 tlumení k sadě S45 zadní</t>
  </si>
  <si>
    <t>Sevroll Gemini horní vedení 1,7m RAL8028 lesk</t>
  </si>
  <si>
    <t>Sevroll Fox II grip rail 2,7m RAL8028 lesk</t>
  </si>
  <si>
    <t>Sevroll horní vodící lišta 1,7m RAL8028 lesk</t>
  </si>
  <si>
    <t>Sevroll spodní krycí lišta 1,7m RAL8028 lesk</t>
  </si>
  <si>
    <t>Sevroll spojovací lišta H30 3m RAL8028 lesk</t>
  </si>
  <si>
    <t>SEVROLL Alfa II grip rail 18mm RAL9016 mat</t>
  </si>
  <si>
    <t>SEVROLL Gemini horní vedení 4,05m RAL9016 mat</t>
  </si>
  <si>
    <t>SEVROLL Elegant II spodní vedení 4,05m RAL9016 mat</t>
  </si>
  <si>
    <t>SEVROLL maska Elegant II 4,05m RAL9016 mat</t>
  </si>
  <si>
    <t>SEVROLL 02385 Oxford úchytová lišta 2,7m stříbrná</t>
  </si>
  <si>
    <t>WC Al elox profil horní 13/32 mm pro kabinky, délka 5,95 m</t>
  </si>
  <si>
    <t>WC Al elox profil U boční 13 mm, délka 1,95 m</t>
  </si>
  <si>
    <t>WC Al elox profil U boční 19 mm, délka 1,98 m</t>
  </si>
  <si>
    <t>WC Al elox profil U boční 25 mm, délka 2,10 m</t>
  </si>
  <si>
    <t>TWIN napínací výztuha 2090mm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</si>
  <si>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</si>
  <si>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</si>
  <si>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</si>
  <si>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</si>
  <si>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</si>
  <si>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</si>
  <si>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</si>
  <si>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volná karta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</si>
  <si>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</si>
  <si>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</si>
  <si>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</si>
  <si>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</si>
  <si>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</si>
  <si>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</si>
  <si>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</si>
  <si>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</si>
  <si>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</si>
  <si>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Dvířka zak.č.2316/2841/wind-AL/jednokoleje/zrcadlo/1ks</t>
  </si>
  <si>
    <t>Skříně Delfi zak.č.2478/112/Niagara ASZ-šampaň/zrcadlo/2ks</t>
  </si>
  <si>
    <t>Dvířka Delfi zak.č.2479/112/Niagara AZ/zlatá/4ks</t>
  </si>
  <si>
    <t>Skříně Delfi zak.č.oprava zakázek 2150-2153</t>
  </si>
  <si>
    <t>Skříně Delfi zak.č.948/1139/Zrcadlos folii/4ks</t>
  </si>
  <si>
    <t>Skříně Delfi zak.č.1622/1905/Calgary/375/pouze 1ks křídla</t>
  </si>
  <si>
    <t>SEVROLL 05325 Pax úchytová lišta 2,7m černá mat</t>
  </si>
  <si>
    <t>SEVROLL 05326 Pax úchytová lišta 3m černá mat</t>
  </si>
  <si>
    <t>WC krytka na horní vodící profil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</si>
  <si>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</si>
  <si>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</si>
  <si>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</si>
  <si>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</si>
  <si>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</si>
  <si>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SEVROLL Gemini horní vedení 3m RAL9005 lesk</t>
  </si>
  <si>
    <t>SEVROLL Gemini horní vedení 1,7m RAL9005 lesk</t>
  </si>
  <si>
    <t>SEVROLL spojovací lišta T Decor 3m RAL9003 lesk</t>
  </si>
  <si>
    <t>SEVROLL úhelník K2 Decor 3m RAL9003 lesk</t>
  </si>
  <si>
    <t>S-S50 horní lišta alu elox 2m</t>
  </si>
  <si>
    <t>S-S50 lišta dolní alu elox 2m</t>
  </si>
  <si>
    <t>S-U profil pro lamino 18mm 3m stříbrný</t>
  </si>
  <si>
    <t>Domino horní vedení alu surová 3m</t>
  </si>
  <si>
    <t>K-SEVROLL sada vozíků pro 2 křídla 18mm + šablona</t>
  </si>
  <si>
    <t>ICSK-zakázka 4.21</t>
  </si>
  <si>
    <t>SEVROLL Gemini horní vedení 4,05m RAL7016 mat</t>
  </si>
  <si>
    <t>SEVROLL Alfa II úchytová lišta 18mm RAL2013 mat</t>
  </si>
  <si>
    <t>SEVROLL Tytan úchytová lišta 2,7m RAL9003 lesk</t>
  </si>
  <si>
    <t>SEVROLL 03939 spojovací lišta Simple/Blue H25 3m (16mm) silver</t>
  </si>
  <si>
    <t>SEVROLL 03938 spojovací lišta Simple/Blue H25 3m (16mm) oliva</t>
  </si>
  <si>
    <t>Sevroll Gemini horní vedení 1,7m RAL8017 lesk</t>
  </si>
  <si>
    <t>SEVROLL Alfa II lišta 18mm 2,7m RAL9005 lesk</t>
  </si>
  <si>
    <t>SEVROLL Gemini horní vedení 4,05m RAL9005 lesk</t>
  </si>
  <si>
    <t>SEVROLL 03607 Gemini úchytová lišta 2,7m černá mat</t>
  </si>
  <si>
    <t>SEVROLL Gemini horní vedení 2,35m RAL9005 mat</t>
  </si>
  <si>
    <t>SEVROLL horní vodící lišta 2,35m RAL9005 mat</t>
  </si>
  <si>
    <t>SEVROLL spodní krycí lišta 2,35m RAL9005 mat</t>
  </si>
  <si>
    <t>SEVROLL Alfa II lišta 18mm 2,7m RAL7016 lesk</t>
  </si>
  <si>
    <t>SEVROLL Gemini horní vedení 3m RAL7016 lesk</t>
  </si>
  <si>
    <t>SEVROLL Elegant II spodní vedení 3m RAL7016 lesk</t>
  </si>
  <si>
    <t>SEVROLL maska Elegant II 3m RAL7016 lesk</t>
  </si>
  <si>
    <t>SEVROLL Elegant II spodní vedení 2,35m RAL7016 lesk</t>
  </si>
  <si>
    <t>SEVROLL maska Elegant II 2,35m RAL7016 lesk</t>
  </si>
  <si>
    <t>SEVROLL spojovací lišta "T" 3m RAL7016 lesk</t>
  </si>
  <si>
    <t>SEVROLL Gemini horní vedení 2,35m RAL7016 lesk</t>
  </si>
  <si>
    <t>Sevroll zakázka Arbyd řezání</t>
  </si>
  <si>
    <t>S-S65 horní a střední profil 4/18mm 1,5m stříbrný</t>
  </si>
  <si>
    <t>SEVROLL Gemini horní vedení 2,35m RAL9016 mat</t>
  </si>
  <si>
    <t>SEVROLL Elegant II spodní vedení 2,35m RAL9016 mat</t>
  </si>
  <si>
    <t>SEVROLL maska Elegant II 2,35m RAL9016 mat</t>
  </si>
  <si>
    <t>SEVROLL Blue horní vedení 2m RAL9003 lesk</t>
  </si>
  <si>
    <t>SEVROLL Rekord úchytová lišta 18mm 2,70m RAL9003 lesk</t>
  </si>
  <si>
    <t>SEVROLL Blue-V spodní vedení 2m RAL9003 lesk</t>
  </si>
  <si>
    <t>SEVROLL horní vodící lišta Simple/Blue 2m (pro lamino 18mm) RAL9003 lesk</t>
  </si>
  <si>
    <t>SEVROLL spodní krycí lišta Simple/Blue 2m (pro lamino 18mm) RAL9003 lesk</t>
  </si>
  <si>
    <t>S-dělící profil "H" 2m stříbrný</t>
  </si>
  <si>
    <t>EKU 053.3161.071 Eku Porta Glas posuvné interiérové kování držák skla</t>
  </si>
  <si>
    <t>Vozík ke kování 1401 včetně plotničky a vrutů</t>
  </si>
  <si>
    <t>Sevroll okrasná lišta S20 3m RAL9003 lesk</t>
  </si>
  <si>
    <t>S-kartáč dorazový nízký 6,2x5mm šedý</t>
  </si>
  <si>
    <t>S-S06N krycí profil 2,5m stříbrný</t>
  </si>
  <si>
    <t>S-S06N krycí profil 3m stříbrný</t>
  </si>
  <si>
    <t>S-S06NN dolní vodící profil 2,5m stříbrný</t>
  </si>
  <si>
    <t>S-S06NN dolní vodící profil 3m stříbrný</t>
  </si>
  <si>
    <t>S-brzda pro S06N/S06NN</t>
  </si>
  <si>
    <t>S-S35C spodní vozík</t>
  </si>
  <si>
    <t>S-profil S30/45 spodní elox 2m</t>
  </si>
  <si>
    <t>S-sada S30 spodní vedení</t>
  </si>
  <si>
    <t>SEVROLL zakázka Dobalex</t>
  </si>
  <si>
    <t>Šrouby pro dveřní zámek 25 mm</t>
  </si>
  <si>
    <t>Šrouby pro pant na kabinky 25 mm</t>
  </si>
  <si>
    <t>WC Al elox profil horní 18/25 mm pro kabinky, délka 5,95 m</t>
  </si>
  <si>
    <t>SEVROLL 04884 reklamní dvířko Blue 10 (8ks)</t>
  </si>
  <si>
    <t>SEVROLL Gemini horní vedení 4,05m RAL9003 mat</t>
  </si>
  <si>
    <t>SEVROLL spodní krycí lišta 1,7m RAL9003 mat</t>
  </si>
  <si>
    <t>SEVROLL horní vodící lišta 1,7m RAL9003 mat</t>
  </si>
  <si>
    <t>SEVROLL 04416 Pax XL úchytová lišta 2,7m bílá lesk</t>
  </si>
  <si>
    <t>IC-horní vodící lišta EU 10mm 2m šampáň</t>
  </si>
  <si>
    <t>IC-spodní krycí lišta EU 10mm 2m šampáň</t>
  </si>
  <si>
    <t>IC-tlumič dorazu univerzální EU - 2ks</t>
  </si>
  <si>
    <t>S-profil S11 nerez 2,7m</t>
  </si>
  <si>
    <t>S-S05 horní vodící profil 2,5m nerez</t>
  </si>
  <si>
    <t>S-S06NN spodní profil 2,5m elox nerez</t>
  </si>
  <si>
    <t>S-S06N krycí profil alu 2,5m nerez</t>
  </si>
  <si>
    <t>S-S65 horní a střední profil 2,5m nerez</t>
  </si>
  <si>
    <t>S-S65 dolní profil 4/18mm 2,5m nerez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</si>
  <si>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</si>
  <si>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</si>
  <si>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</si>
  <si>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</si>
  <si>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05136 úhelník 17x11mm 1,7m bílá mat</t>
  </si>
  <si>
    <t>SEVROLL 05137 úhelník 17x11mm 2,35m bílá mat</t>
  </si>
  <si>
    <t>SEVROLL 05166 maska Elegant II 6m bílá mat</t>
  </si>
  <si>
    <t>SEVROLL 05163 maska Elegant II 1,7m bílá mat</t>
  </si>
  <si>
    <t>SEVROLL úhelník K2 Decor 1,7m RAL9005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</si>
  <si>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</si>
  <si>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</si>
  <si>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</si>
  <si>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</si>
  <si>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</si>
  <si>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</si>
  <si>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</si>
  <si>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</si>
  <si>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</si>
  <si>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</si>
  <si>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</si>
  <si>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</si>
  <si>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</si>
  <si>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ICSK-zakázka Onder</t>
  </si>
  <si>
    <t>SEVROLL Faworyt II úchytová lišta 2,7m RAL9005 mat</t>
  </si>
  <si>
    <t>SEVROLL okrasná lišta S20 3m RAL9005 mat</t>
  </si>
  <si>
    <t>SEVROLL Romeo II úchytová lišta 2,7m RAL9003 lesk</t>
  </si>
  <si>
    <t>SEVROLL 10182 sada Fold pro 2 křídla levá</t>
  </si>
  <si>
    <t>SEVROLL 10181 sada Fold pro 2 křídla pravá</t>
  </si>
  <si>
    <t>SEVROLL Julia II úchytová lišta 2,7m RAL9003 mat</t>
  </si>
  <si>
    <t>SEVROLL Single horní vedení 3,6m RAL9003 mat</t>
  </si>
  <si>
    <t>S-S65 dolní profil 4/18mm 1,5m stříbrný</t>
  </si>
  <si>
    <t>S-S06N dolní vodící profil 1,5m stříbrný</t>
  </si>
  <si>
    <t>IC-horní vedení EU 2m  šampáň</t>
  </si>
  <si>
    <t>IC-spodní vedení EU 2m  šampáň</t>
  </si>
  <si>
    <t>IC-horní vodící lišta EU 10mm 4m  šampáň</t>
  </si>
  <si>
    <t>IC-spodní krycí lišta  EU 10mm 4m šampáň</t>
  </si>
  <si>
    <t>Lišta vedení Art. 950/ 6m</t>
  </si>
  <si>
    <t>Horní vozík otočný 160 kg Art. 78</t>
  </si>
  <si>
    <t>Upevňovací element otočný Art. 57</t>
  </si>
  <si>
    <t>Upevňovací element kolejnice  Art. 58</t>
  </si>
  <si>
    <t>Doraz vozíku Art. 55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</si>
  <si>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</si>
  <si>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</si>
  <si>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</si>
  <si>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</si>
  <si>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</si>
  <si>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</si>
  <si>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</si>
  <si>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</si>
  <si>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</si>
  <si>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</si>
  <si>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</si>
  <si>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</si>
  <si>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S-S45 horní vodící profil 4m stříbrný</t>
  </si>
  <si>
    <t>S-sada kování S45 přední dveře</t>
  </si>
  <si>
    <t>S-sada kování S45 zadní dveře</t>
  </si>
  <si>
    <t>S-Slidix T25 tlumení k sadě S45 přední</t>
  </si>
  <si>
    <t>S-Slidix T25 tlumení k sadě S45 zadní</t>
  </si>
  <si>
    <t>Skříň Delfi z.č.1849/fox/F6064/Z0004/3ks</t>
  </si>
  <si>
    <t>Skříň Delfi zak.č.1818/Calgary/AZ+AS/5ks</t>
  </si>
  <si>
    <t>Skříně Delfi zak.č.1931-2507/Halifax 3ks</t>
  </si>
  <si>
    <t>Skříně Delfi zak.č.1932-2507/Halifax 3ks</t>
  </si>
  <si>
    <t>Skříně Delfi zak.č.2038-2679/Quebeck/1ks</t>
  </si>
  <si>
    <t>Skříně Delfi zak.č.2039-2679/Windsor/2ks</t>
  </si>
  <si>
    <t>Skříně Delfi zak.č.2040-2679/Windsor/2ks</t>
  </si>
  <si>
    <t>Skříně Delfi zak.č.2041-2679/Windsor/2ks</t>
  </si>
  <si>
    <t>Skříně Delfi zak.č.2042-2679/Windsor/2ks</t>
  </si>
  <si>
    <t>Sk.Delfi zak.č.2056-2698/Fox/kar.ol./2ks</t>
  </si>
  <si>
    <t>Sk.Delfi zak.č.2057-2698/Fox/kar.ol./2ks</t>
  </si>
  <si>
    <t>Skří Delfi zak.č.2100-2728/Halifax/2ks</t>
  </si>
  <si>
    <t>K-STRONG Barnio sada Big 2m bez tlumení, 40-45mm černá mat</t>
  </si>
  <si>
    <t>K-STRONG Barnio sada Big 2m s tlumením, 40-45mm černá mat</t>
  </si>
  <si>
    <t>K-STRONG Barnio sada Big 3m bez tlumení, 40-45mm černá mat</t>
  </si>
  <si>
    <t>K-STRONG Barnio sada Big 3m s tlumením, 40-45mm černá mat</t>
  </si>
  <si>
    <t>K-STRONG Barnio sada Simple 2m bez tlumení, 40-45mm černá mat</t>
  </si>
  <si>
    <t>K-STRONG Barnio sada Simple 2m s tlumením, 40-45mm černá mat</t>
  </si>
  <si>
    <t>K-STRONG Barnio sada Simple 3m bez tlumení, 40-45mm černá mat</t>
  </si>
  <si>
    <t>K-STRONG Barnio sada Simple 3m s tlumením, 40-45mm černá mat</t>
  </si>
  <si>
    <t>K-STRONG Barnio sada Square 2m bez tlumení, 40-45mm černá mat</t>
  </si>
  <si>
    <t>K-STRONG Barnio sada Square 2m s tlumením, 40-45mm černá mat</t>
  </si>
  <si>
    <t>K-STRONG Barnio sada Square 3m bez tlumení, 40-45mm černá mat</t>
  </si>
  <si>
    <t>K-STRONG Barnio sada Square 3m s tlumením, 40-45mm černá mat</t>
  </si>
  <si>
    <t>Posuvné interiérové kování 1399 40kg 2x tlumič</t>
  </si>
  <si>
    <t>Posuvné interiérové kování 1399/155 40kg 2x tlumič</t>
  </si>
  <si>
    <t>SEVROLL 02975 Maxim horní vodící lišta 1,8m oliva</t>
  </si>
  <si>
    <t>SEVROLL 02970 Maxim spodní krycí lišta 1,8m 18mm oliva</t>
  </si>
  <si>
    <t>Posuvné interiérové kování 1399/190 40kg 2x tlumič</t>
  </si>
  <si>
    <t>Posuvné interiérové kování 1399/230 40kg 2x tlumič</t>
  </si>
  <si>
    <t>Posuvné interiérové kování 1399/280 40kg 2x tlumič</t>
  </si>
  <si>
    <t>Posuvné interiérové kování 1399/330 40kg 2x tlumič</t>
  </si>
  <si>
    <t>S-Softclose S30/S42 Slidix T60</t>
  </si>
  <si>
    <t>SEVROLL 04387 Harmony sada kování pro dvoje dveře 1800mm, 18 - 45mm, 60 kg</t>
  </si>
  <si>
    <t>SEVROLL 05527 úhelník 17x11mm 4,05m stříbrná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</si>
  <si>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</si>
  <si>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</si>
  <si>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</si>
  <si>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Tytan úchytová lišta 2,7m RAL9004 mat</t>
  </si>
  <si>
    <t>SEVROLL Gemini horní vedení 1,7m RAL9004 mat</t>
  </si>
  <si>
    <t>SEVROLL Elegant II spodní vedení 1,7m RAL9004 mat</t>
  </si>
  <si>
    <t>SEVROLL maska Elegant II 1,7m RAL9004 mat</t>
  </si>
  <si>
    <t>S-S06N dolní vodící profil 2m světlý bronz</t>
  </si>
  <si>
    <t>S-S06N krycí profil (maska) 2m světlý bronz</t>
  </si>
  <si>
    <t>S-S05 horní vodící profil 2m světlý bronz</t>
  </si>
  <si>
    <t>S-S65 horní a střední profil 4/18mm 2m světlý bronz</t>
  </si>
  <si>
    <t>S-S65 dolní profil 4/18mm 2m světlý bronz</t>
  </si>
  <si>
    <t>STRONG Barnio spojovací šroub na dveře 30-40mm černá mat</t>
  </si>
  <si>
    <t>STRONG Barnio spojovací šroub na dveře 40-45mm černá mat</t>
  </si>
  <si>
    <t>SEVROLL expozice pro EMIKON MEBEL</t>
  </si>
  <si>
    <t>WC Zavírač s indikátorem obsazeno/volno pro lamino 18 mm</t>
  </si>
  <si>
    <t>K-WC Rektifikační nožka VS-U univerzální 18 mm</t>
  </si>
  <si>
    <t>WC Al elox profil U boční 18 mm, délka 2 m</t>
  </si>
  <si>
    <t>WC Al elox profil U boční 13 mm, délka 2 m</t>
  </si>
  <si>
    <t>WC Al elox profil U boční 25 mm, délka 2 m</t>
  </si>
  <si>
    <t>S-Softclose S30/S42 Slidix T40</t>
  </si>
  <si>
    <t>S-sada kování S80</t>
  </si>
  <si>
    <t>S-S40/80 horní lišta alu 2m</t>
  </si>
  <si>
    <t>EKU 053.3389.071 Frontino 20 H OS FS typ OS1 1200-1399mm</t>
  </si>
  <si>
    <t>EKU 053.3389.072 Frontino 20 H OS FS typ OS2 1400-1599mm</t>
  </si>
  <si>
    <t>EKU 053.3389.073 Frontino 20 H OS FS typ OS3 1600-1799mm</t>
  </si>
  <si>
    <t>EKU 053.3389.074 Frontino 20 H OS FS typ OS4 1800-1999mm</t>
  </si>
  <si>
    <t>EKU 053.3389.075 Frontino 20 H OS FS typ OS5 2000-2199mm</t>
  </si>
  <si>
    <t>EKU 053.3389.076 Frontino 20 H OS FS typ OS6 2200-2400mm</t>
  </si>
  <si>
    <t>EKU 053.3390.071 Frontino 20 H FS typ S1 1200-1399mm</t>
  </si>
  <si>
    <t>EKU 053.3390.072 Frontino 20 H FS typ S2 1400-1599mm</t>
  </si>
  <si>
    <t>EKU 053.3390.075 Frontino 20 H FS typ S5 2000-2199mm</t>
  </si>
  <si>
    <t>EKU 053.3390.076 Frontino 20 H FS typ S6 2200-2400mm</t>
  </si>
  <si>
    <t>EKU 053.3320.071 Frontino 40 H FS typ S 1200-1799mm sada kování</t>
  </si>
  <si>
    <t>EKU 053.3320.072 Frontino 40 H FS typ M 1800-2199mm sada kování</t>
  </si>
  <si>
    <t>EKU 053.3320.073 Frontino 40 H FS typ L 2200-2400mm sada kování</t>
  </si>
  <si>
    <t>EKU 053.3321.180 Frontino 40 Typ S 1200-1799mm sada vedení</t>
  </si>
  <si>
    <t>EKU 053.3321.220 Frontino 40 Typ M 1800-2199mm sada vedení</t>
  </si>
  <si>
    <t>EKU 053.3321.240 Frontino 40 Typ L 2200-2400mm sada vedení</t>
  </si>
  <si>
    <t>IC-spodní krycí lišta 10mm 3m stříbrná</t>
  </si>
  <si>
    <t>IC-spojovací H profil 10mm 3m  stříbrný</t>
  </si>
  <si>
    <t>IC-úchytová lišta Harmony 10mm 2,7m šampáň</t>
  </si>
  <si>
    <t>IC-horní vodící lišta 10mm 2m šampáň</t>
  </si>
  <si>
    <t>IC-horní vodící lišta 10mm 3m šampáň</t>
  </si>
  <si>
    <t>IC-horní vodící lišta 10mm 5m šampáň</t>
  </si>
  <si>
    <t>IC-spodní krycí lišta 10mm 2m šampáň</t>
  </si>
  <si>
    <t>IC-spodní krycí lišta 10mm 3m šampáň</t>
  </si>
  <si>
    <t>IC-spodní krycí lišta 10mm 5m šampáň</t>
  </si>
  <si>
    <t>IC-spojovací H profil 10mm 3m šampáň</t>
  </si>
  <si>
    <t>IC-spojovací H profil 10mm 5m šampáň</t>
  </si>
  <si>
    <t>TE - DIVA  - art. 1477 (80 kg)</t>
  </si>
  <si>
    <t>S-Oboustranný tlumič Slidix Centro T40 S55/S60/S65</t>
  </si>
  <si>
    <t>S-profil S11 světlý bronz 2,7m</t>
  </si>
  <si>
    <t>S-S05 horní vodící profil světlý bronz 3m</t>
  </si>
  <si>
    <t>S-S06NN dolní vodící profil 3m světlý bronz</t>
  </si>
  <si>
    <t>S-S65 horní a středový profil 3,5m světlý bronz</t>
  </si>
  <si>
    <t>S-S65 dolní profil 4/18mm 3,5m světlý bronz</t>
  </si>
  <si>
    <t>S-S06N krycí profil maska 3m světlý bronz</t>
  </si>
  <si>
    <t>S-S45-horní vodící profil 3m stříbrný</t>
  </si>
  <si>
    <t>S-profil S30/45 spodní elox 3m</t>
  </si>
  <si>
    <t>S-S40SD horní vedení 2m (dodat 85355)</t>
  </si>
  <si>
    <t>S-S40SD horní vedení 3m (dodat 85355)</t>
  </si>
  <si>
    <t>S-40SD dolní lišta alu surová 2m</t>
  </si>
  <si>
    <t>S-40SD dolní lišta alu surová 2,5m</t>
  </si>
  <si>
    <t>S-40SD dolní lišta alu surová 3m</t>
  </si>
  <si>
    <t>S-S40SD sada kování levá</t>
  </si>
  <si>
    <t>S-S40SD sada kování pravá</t>
  </si>
  <si>
    <t>S-40SD dolní lišta alu surová 5m</t>
  </si>
  <si>
    <t>S-S20/30 brzda plastová</t>
  </si>
  <si>
    <t>S-H50 brzda pravá</t>
  </si>
  <si>
    <t>S-S40SD doraz</t>
  </si>
  <si>
    <t>S-S70C úchytová lišta 2,7m</t>
  </si>
  <si>
    <t>SEVROLL 05043 reklamní skládací stolička malá 27cm</t>
  </si>
  <si>
    <t>SEVROLL 05044 reklamní skládací stolička velká 39cm</t>
  </si>
  <si>
    <t>SEVROLL horní vodící lišta Simple/Blue 3m (pro lamino 18mm) RAL9003 lesk</t>
  </si>
  <si>
    <t>SEVROLL spodní krycí lišta Simple/Blue 3m (pro lamino 18mm) RAL9003 lesk</t>
  </si>
  <si>
    <t>SEVROLL 05319 maska Elegant II 3m černá mat</t>
  </si>
  <si>
    <t>SEVROLL Gemini úchytová lišta 2,7m RAL9003 mat</t>
  </si>
  <si>
    <t>SEVROLL Gemini horní vedení 2,35m RAL9003 mat</t>
  </si>
  <si>
    <t>SEVROLL horní vodící lišta 2,35m RAL9003 mat</t>
  </si>
  <si>
    <t>SEVROLL spodní krycí lišta 2,35m RAL9003 mat</t>
  </si>
  <si>
    <t>SEVROLL spojovací lišta H10 3m RAL9003 mat</t>
  </si>
  <si>
    <t>S-S06NN spodní profil 4m elox stř.</t>
  </si>
  <si>
    <t>S-S06N krycí profil 4m stříbrný</t>
  </si>
  <si>
    <t>S-S05-horní vodící profil 6m stříbrný</t>
  </si>
  <si>
    <t>S-profil S11 stříbrný elox 3,2m</t>
  </si>
  <si>
    <t>S-S06NN spodní profil 6m stříbrný</t>
  </si>
  <si>
    <t>S-S06N krycí profil 6m stříbrný</t>
  </si>
  <si>
    <t>S-S65 horní a střední profil 4/18mm 4m stříbrný</t>
  </si>
  <si>
    <t>S-S65 dolní profil 4/18mm 4m stříbrný</t>
  </si>
  <si>
    <t>S-zakázka S60N 2116x968mm (8ks)</t>
  </si>
  <si>
    <t>S-zakázka S60N 2116x878mm (1ks)</t>
  </si>
  <si>
    <t>S-zakázka S60N 1958x968mm (4ks)</t>
  </si>
  <si>
    <t>S-zakázka S60N 2113x1078mm (1ks)</t>
  </si>
  <si>
    <t>S-zakázka S60N 2113x1458mm (1ks)</t>
  </si>
  <si>
    <t>S-S05-1-horní vod.profil jednod. 2m stř.</t>
  </si>
  <si>
    <t>S-S06N-1 spodní profil jedn.2m elox stř.</t>
  </si>
  <si>
    <t>SEVROLL spojovací lišta H08/18 3m RAL9003 lesk</t>
  </si>
  <si>
    <t>SEVROLL System 10 II lišta 2,7m RAL9003 lesk</t>
  </si>
  <si>
    <t>IC-4mm lišta svislá Standard bronzová 2,75m</t>
  </si>
  <si>
    <t>IC-horní vedení bronzová 2m</t>
  </si>
  <si>
    <t>IC-spodní vedení bronzová 2m</t>
  </si>
  <si>
    <t>IC-4mm lišta vodorovná bronzová 2,4m</t>
  </si>
  <si>
    <t>S-zakázka S60N 2116x968mm (1ks)</t>
  </si>
  <si>
    <t>S-zakázka S60N 2108x1428mm (1ks)</t>
  </si>
  <si>
    <t>STRONG Barnio sada Simple černá mat</t>
  </si>
  <si>
    <t>STRONG Barnio sada Square černá mat</t>
  </si>
  <si>
    <t>STRONG Barnio sada Big černá mat</t>
  </si>
  <si>
    <t>STRONG Barnio sada tlumičů</t>
  </si>
  <si>
    <t>STRONG Barnio horní vedení 2m černá mat</t>
  </si>
  <si>
    <t>STRONG Barnio horní vedení 3m černá mat</t>
  </si>
  <si>
    <t>STRONG Barnio spojka vedení černá mat</t>
  </si>
  <si>
    <t>STRONG Barnio spojovací materiál na stěnu černá mat</t>
  </si>
  <si>
    <t>K-STRONG Barnio sada Simple 2m s tlumením, 30-40mm černá mat</t>
  </si>
  <si>
    <t>K-STRONG Barnio sada Simple 3m s tlumením, 30-40mm černá mat</t>
  </si>
  <si>
    <t>K-STRONG Barnio sada Square 2m s tlumením, 30-40mm černá mat</t>
  </si>
  <si>
    <t>K-STRONG Barnio sada Square 3m s tlumením, 30-40mm černá mat</t>
  </si>
  <si>
    <t>K-STRONG Barnio sada Big 2m s tlumením, 30-40mm černá mat</t>
  </si>
  <si>
    <t>K-STRONG Barnio sada Big 3m s tlumením, 30-40mm černá mat</t>
  </si>
  <si>
    <t>K-STRONG Barnio sada Simple 2m bez tlumení, 30-40mm černá mat</t>
  </si>
  <si>
    <t>K-STRONG Barnio sada Simple 3m bez tlumení, 30-40mm černá mat</t>
  </si>
  <si>
    <t>K-STRONG Barnio sada Big 2m bez tlumení, 30-40mm černá mat</t>
  </si>
  <si>
    <t>K-STRONG Barnio sada Big 3m bez tlumení, 30-40mm černá mat</t>
  </si>
  <si>
    <t>K-STRONG Barnio sada Square 2m bez tlumení, 30-40mm černá mat</t>
  </si>
  <si>
    <t>K-STRONG Barnio sada Square 3m bez tlumení, 30-40mm černá mat</t>
  </si>
  <si>
    <t>IC-úchytová lišta Comfort 10mm 2,7m stříbrná</t>
  </si>
  <si>
    <t>IC-úch.lišta Harmony 10mm 2,7m  stříbrná</t>
  </si>
  <si>
    <t>IC-horní vodící lišta 10mm 3m  stříbrná</t>
  </si>
  <si>
    <t>IC-horní vodící lišta 10mm 5m stříbrná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</si>
  <si>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</si>
  <si>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</si>
  <si>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</si>
  <si>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</si>
  <si>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</si>
  <si>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</si>
  <si>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</si>
  <si>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</si>
  <si>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</si>
  <si>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</si>
  <si>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</si>
  <si>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</si>
  <si>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</si>
  <si>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</si>
  <si>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</si>
  <si>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</si>
  <si>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</si>
  <si>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</si>
  <si>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</si>
  <si>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</si>
  <si>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</si>
  <si>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</si>
  <si>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</si>
  <si>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</si>
  <si>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</si>
  <si>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</si>
  <si>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</si>
  <si>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</si>
  <si>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</si>
  <si>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</si>
  <si>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</si>
  <si>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</si>
  <si>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00095-A úhelník 17x11mm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</si>
  <si>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</si>
  <si>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</si>
  <si>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</si>
  <si>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</si>
  <si>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S-S80 sada kování 80kg (H80)</t>
  </si>
  <si>
    <t>S-profil S40/80 6m ocel</t>
  </si>
  <si>
    <t>S-profil S40/80 2m ocel</t>
  </si>
  <si>
    <t>S-profil S40/80 3m ocel</t>
  </si>
  <si>
    <t>S-aretační brzda S40/S40H/S80</t>
  </si>
  <si>
    <t>S-S40 sada kování</t>
  </si>
  <si>
    <t>S-S50 lišta spodní elox alu 3m</t>
  </si>
  <si>
    <t>S-S60H sada kování (H60)</t>
  </si>
  <si>
    <t>S-S08 úchytový profil alu elox 2,7m</t>
  </si>
  <si>
    <t>S-S03 vodící profil alu elox 1,25m</t>
  </si>
  <si>
    <t>S-S37 sada kování 1 křídlo</t>
  </si>
  <si>
    <t>S-S50 lišta horní zafrézovací alu surová 3m</t>
  </si>
  <si>
    <t>S-S50 lišta horní zafrézovací alu surová 2m</t>
  </si>
  <si>
    <t>S-S03 vodící profil alu elox 3m</t>
  </si>
  <si>
    <t>S-S03 vodící profil alu elox 2m</t>
  </si>
  <si>
    <t>S-S27AL sada kování pro alu dvířka 25 kg</t>
  </si>
  <si>
    <t>S-S37AL sada kování pro alu dvířka 35 kg</t>
  </si>
  <si>
    <t>S-S40H sada kování (H40HARD)</t>
  </si>
  <si>
    <t>S-S20/30 vodítko černé/hnědé</t>
  </si>
  <si>
    <t>S-S40/80 vodítko</t>
  </si>
  <si>
    <t>S-brzda S36 (H60) součást sady S36</t>
  </si>
  <si>
    <t>S-S40/80 příchytka stěnová (H40/80)</t>
  </si>
  <si>
    <t>S-S25 horní lišta alu elox 2m</t>
  </si>
  <si>
    <t>S-S25 horní lišta alu elox 3m</t>
  </si>
  <si>
    <t>S-S25 horní lišta alu surová 2m</t>
  </si>
  <si>
    <t>S-S03 vod.profil alu elox 2,5m</t>
  </si>
  <si>
    <t>SEVROLL vzorky Ma-Bu Kft</t>
  </si>
  <si>
    <t>SEVROLL vzorky Szaki-Barkács Kft.</t>
  </si>
  <si>
    <t>SEVROLL vzorky Vass-Contakt Bt.</t>
  </si>
  <si>
    <t>SEVROLL vzorky BO-for-FA</t>
  </si>
  <si>
    <t>SEVROLL 219-047 držák horního vedení pro lamino 16 - 25mm</t>
  </si>
  <si>
    <t>SEVROLL 214-694 krycí lišta Herkules II 1,8m stříbrná</t>
  </si>
  <si>
    <t>WC Al elox profil horní 13/32 mm pro kabinky, délka 1,98 m</t>
  </si>
  <si>
    <t>WC Al elox profil horní 13/32 mm pro kabinky, délka 3,96 m</t>
  </si>
  <si>
    <t>ROLL GE 20 - profil horní 4m</t>
  </si>
  <si>
    <t>ROLL GE 20 - konsola 26</t>
  </si>
  <si>
    <t>ROLL GE 20 - jezdec horní 1286</t>
  </si>
  <si>
    <t>ROLL GE 20 - upevň. element 88</t>
  </si>
  <si>
    <t>S-S20 sada kování 1 křídlo 20kg</t>
  </si>
  <si>
    <t>S-S30 sada kování 1 křídlo 30kg</t>
  </si>
  <si>
    <t>S-S20/30 lišta jednoduchá ocel 2m</t>
  </si>
  <si>
    <t>S-S20/30 lišta jednoduchá ocel 3m</t>
  </si>
  <si>
    <t>S-S20/30 alu elox lišta dvojitá 2m</t>
  </si>
  <si>
    <t>S-S20/30 alu elox lišta dvojitá 3m</t>
  </si>
  <si>
    <t>S-S20/S30 brzda plastová</t>
  </si>
  <si>
    <t>S-S20/30 doraz + 2x vrut</t>
  </si>
  <si>
    <t>ROLL GE 20-art.239.040 spodní profil 4m</t>
  </si>
  <si>
    <t>ROLL GE 20-art.239.060 spodní profil 6m</t>
  </si>
  <si>
    <t>Posuv.int.kov. 1400 - lišta horní 6m</t>
  </si>
  <si>
    <t>S-S50 lišta dolní alu elox (H35/60) 2m</t>
  </si>
  <si>
    <t>Brzda ke kování 1390/1391</t>
  </si>
  <si>
    <t>Lišta horní alu 1390 / 330cm</t>
  </si>
  <si>
    <t>STRONG alu profil 1030 horní 1,2m</t>
  </si>
  <si>
    <t>STRONG alu profil 1030 horní 2m</t>
  </si>
  <si>
    <t>STRONG alu profil 1030 horní 3m</t>
  </si>
  <si>
    <t>STRONG alu profil 1030 dolní 1,2m</t>
  </si>
  <si>
    <t>STRONG alu profil 1030 dolní 2m</t>
  </si>
  <si>
    <t>STRONG alu profil 1030 dolní 3m</t>
  </si>
  <si>
    <t>STRONG alu profil 1030W spodní 1,2m</t>
  </si>
  <si>
    <t>STRONG alu profil 1030W spodní 2m</t>
  </si>
  <si>
    <t>STRONG alu profil 1030W spodní 3m</t>
  </si>
  <si>
    <t>S-S35A horní jezdec posuvné kování</t>
  </si>
  <si>
    <t>S-S35B horní jezdec posuvné kování</t>
  </si>
  <si>
    <t>S-S60N 1 sada kování pro 1 dveře</t>
  </si>
  <si>
    <t>K-WC Horní upevňovací svorka T 18 mm</t>
  </si>
  <si>
    <t>K-WC Závěs levý (šrouby) H70 18 mm</t>
  </si>
  <si>
    <t>K-WC Závěs pravý (šrouby) H70 18 mm</t>
  </si>
  <si>
    <t>K-SEV-sada vozíků pro 2 křídla 18mm+šablona</t>
  </si>
  <si>
    <t>SEVROLL Prosper II úchytová lišta 2,8m oliva</t>
  </si>
  <si>
    <t>Sevroll Single horní vedení 3m RAL9003 lesk</t>
  </si>
  <si>
    <t>Sevroll Single horní vedení 1,7m RAL9003 lesk</t>
  </si>
  <si>
    <t>Sevroll koncovka k liště Hide N RAL9003 lesk</t>
  </si>
  <si>
    <t>SEVROLL profil "U" pro lamino 18mm 3m RAL9003 mat</t>
  </si>
  <si>
    <t>ICSK-zakázka NHN1</t>
  </si>
  <si>
    <t>ICSK-zakázka NHN2</t>
  </si>
  <si>
    <t>S-S50 lišta spodní RAL9005 mat alu 3m</t>
  </si>
  <si>
    <t>S-S50 lišta horní RAL9005 mat alu 3m</t>
  </si>
  <si>
    <t>SEVROLL 222883 houba na odstraňování malých škrábanců u stříbrných alu profilů</t>
  </si>
  <si>
    <t>STRONG Planio sada pro 2 křídla plné tlumení,včetně 8 tlumičů,80kg</t>
  </si>
  <si>
    <t>STRONG Planio sada pro 3 křídla plné tlumení, včetně 10 tlumičů, antikolize</t>
  </si>
  <si>
    <t>STRONG Planio horní vedení elox 2m</t>
  </si>
  <si>
    <t>STRONG Planio horní vedení elox 3m</t>
  </si>
  <si>
    <t>STRONG Planio horní vedení elox 4m</t>
  </si>
  <si>
    <t>STRONG Planio spodní vedení elox 2m</t>
  </si>
  <si>
    <t>STRONG Planio spodní vedení elox 3m</t>
  </si>
  <si>
    <t>STRONG Planio spodní vedení elox 4m</t>
  </si>
  <si>
    <t>STRONG Planio krycí profil pro vnější dveře elox 2m</t>
  </si>
  <si>
    <t>Šrouby pro pant na kabinky 12 mm</t>
  </si>
  <si>
    <t>ICSK-zakázka Harmony</t>
  </si>
  <si>
    <t>S-kartáč dorazový nízký s lepidlem 4,8*5mm šedý</t>
  </si>
  <si>
    <t>S-S60N-2 sada kování pro 1 dveře</t>
  </si>
  <si>
    <t>S-dělící profil "T" 3m elox sříbrný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</si>
  <si>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</si>
  <si>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</si>
  <si>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</si>
  <si>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</si>
  <si>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</si>
  <si>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</si>
  <si>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05297 úhelník 17x11mm 2,35m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</si>
  <si>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</si>
  <si>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</si>
  <si>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</si>
  <si>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úhelník 17x11mm 1,7m RAL7016 mat</t>
  </si>
  <si>
    <t>SEVROLL maska Elegant II 3m RAL7016 mat</t>
  </si>
  <si>
    <t>SEVROLL Elegant II spodní vedení 3m RAL7016 mat</t>
  </si>
  <si>
    <t>SEVROLL Gemini horní vedení 3m RAL7016 mat</t>
  </si>
  <si>
    <t>SEVROLL Alfa II úchytová lišta 18mm RAL7016 mat</t>
  </si>
  <si>
    <t>S-profil S04 stříbrný elox 2,7m</t>
  </si>
  <si>
    <t>SEVROLL ZR-18 Unicomfort sada pro rozevírací dveře</t>
  </si>
  <si>
    <t>Sevroll zakázka Kupka RAL 8016 lesk</t>
  </si>
  <si>
    <t>S-S34 sada kování pro alu rámeček</t>
  </si>
  <si>
    <t>IC-úchytová lišta Exclusive 10mm 2,7m stříbrná</t>
  </si>
  <si>
    <t>IC-horní vodící lišta 10mm 2m stříbrná</t>
  </si>
  <si>
    <t>IC-spodní krycí lišta 10mm 2m stříbrná</t>
  </si>
  <si>
    <t>STRONG Linio sada kování pro 2 křídla s tlumením 40kg</t>
  </si>
  <si>
    <t>STRONG Linio sada kování pro 3 křídla s tlumením 40kg</t>
  </si>
  <si>
    <t>STRONG Linio horní/spodní vedení elox 1,5m</t>
  </si>
  <si>
    <t>STRONG Linio horní/spodní vedení elox 2m</t>
  </si>
  <si>
    <t>STRONG Linio horní/spodní vedení elox 3m</t>
  </si>
  <si>
    <t>STRONG Linio středový tlumič oboustranný</t>
  </si>
  <si>
    <t>STRONG Baleo sada kování pro 1 křídlo 30kg</t>
  </si>
  <si>
    <t>STRONG Baleo vedení horní/spodní jednoduché 1,2m elox</t>
  </si>
  <si>
    <t>STRONG Baleo vedení horní/spodní jednoduché 2m elox</t>
  </si>
  <si>
    <t>STRONG Baleo vedení horní/spodní jednoduché 3m elox</t>
  </si>
  <si>
    <t>STRONG Baleo vedení horní/spodní dvojité 1,2m elox</t>
  </si>
  <si>
    <t>STRONG Baleo vedení horní/spodní dvojité 2m elox</t>
  </si>
  <si>
    <t>STRONG Baleo vedení horní/spodní dvojité 3m elox</t>
  </si>
  <si>
    <t>STRONG Baleo záslepka dvojitého vedení 3m</t>
  </si>
  <si>
    <t>SEVROLL Comfort horní vedení 4,05m RAL9005 lesk</t>
  </si>
  <si>
    <t>SEVROLL Doubler II spodní vedení 4,05m RAL9005 lesk</t>
  </si>
  <si>
    <t>SEVROLL Doubler II maska 4,05m RAL9005 lesk</t>
  </si>
  <si>
    <t>SEVROLL Future II úchytová lišta 2,7m RAL9005 lesk</t>
  </si>
  <si>
    <t>SEVROLL horní vodící lišta 2,35m RAL9005 lesk</t>
  </si>
  <si>
    <t>SEVROLL spodní krycí lišta 2,35m RAL9005 lesk</t>
  </si>
  <si>
    <t>SEVROLL spojovací lišta H30 3m RAL9005 lesk</t>
  </si>
  <si>
    <t>WC Horní upevňovací svorka T 12mm/90°</t>
  </si>
  <si>
    <t>SEVROLL Blue horní vedení 4m RAL9003 lesk</t>
  </si>
  <si>
    <t>SEVROLL Blue-V spodní vedení 4m RAL9003 lesk</t>
  </si>
  <si>
    <t>SEVROLL 221-300 sada Herkules plus 25kg HP2/25 1,2m</t>
  </si>
  <si>
    <t>K-Akční set 20x madlo Era stříbrná + 10x sada horních a spodních vozíků</t>
  </si>
  <si>
    <t>S-S05-1-horní vodící profil jednoduchý 1,5m stříbrná</t>
  </si>
  <si>
    <t>S-S06N-1 spodní profil jednoduchý 1,5m elox stříbrný</t>
  </si>
  <si>
    <t>SEVROLL Blue horní vedení 3m RAL9003 lesk</t>
  </si>
  <si>
    <t>SEVROLL Blue-V spodní vedení 3m RAL9003 lesk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</si>
  <si>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</si>
  <si>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</si>
  <si>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</si>
  <si>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</si>
  <si>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</si>
  <si>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SEVROLL okrasná lišta S10 3m RAL9005 mat</t>
  </si>
  <si>
    <t>SEVROLL maska Elegant II 3m RAL9005 mat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</si>
  <si>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</si>
  <si>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</si>
  <si>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</si>
  <si>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</si>
  <si>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</si>
  <si>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</si>
  <si>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IC-Zakázka 12000020 - 2743x2446 mm</t>
  </si>
  <si>
    <t>S-S50N sada kování</t>
  </si>
  <si>
    <t>S-dělící profil "T" 2m stříbrný</t>
  </si>
  <si>
    <t>S-úhelník S07 2m stříbrná</t>
  </si>
  <si>
    <t>S-úhelník S07 3m stříbrná</t>
  </si>
  <si>
    <t>S-S06N-S06N dolní vodící profil alu 3,5m</t>
  </si>
  <si>
    <t>S-profil S12 2,7m stříbrný elox</t>
  </si>
  <si>
    <t>S-S40/80 horní lišta alu 3m</t>
  </si>
  <si>
    <t>IC-Zakázka 13000001 - 1630x2822 mm</t>
  </si>
  <si>
    <t>SEVROLL zakázka Škandera RAL 1015 mat</t>
  </si>
  <si>
    <t>Sevroll zakázka Hanus RAL 9023 lesk</t>
  </si>
  <si>
    <t>DVEŘE ZAK. č.2868/ bílé kování ocel-sada</t>
  </si>
  <si>
    <t>S-S06NN spodní profil 3,5m světlý bronz</t>
  </si>
  <si>
    <t>S-S06N krycí profil 3,5m světlý bronz</t>
  </si>
  <si>
    <t>S-S05 horní vodící profil 3,5m světlý bronz</t>
  </si>
  <si>
    <t>S-dělící profil "T" 2m světlý bronz</t>
  </si>
  <si>
    <t>S-dělící profil "T" 3m světlý bronz</t>
  </si>
  <si>
    <t>S-profil S04N světlý bronz 2,7m</t>
  </si>
  <si>
    <t>Sevroll Prosper úchytová lištal 2,7m RAL9003 lesk</t>
  </si>
  <si>
    <t>Sevroll Maxim horní vedení 1,8m RAL9003 lesk</t>
  </si>
  <si>
    <t>Sevroll Maxim II spodní vedení 1,8m RAL9003 lesk</t>
  </si>
  <si>
    <t>Sevroll Maxim II maska 1,8m RAL9003 lesk</t>
  </si>
  <si>
    <t>Sevroll Maxim vodící lišta 1,8m RAL9003 lesk</t>
  </si>
  <si>
    <t>Sevroll Maxim spodní krycí lišta 1,8m RAL9003 lesk</t>
  </si>
  <si>
    <t>S-S06NN spodní profil 2m elox stříbrný</t>
  </si>
  <si>
    <t>Šrouby pro pant na kabinky 18 mm</t>
  </si>
  <si>
    <t>SEVROLL 03921 profil "U" Mini 36 pro DTD 2x18mm stříbrná 3m</t>
  </si>
  <si>
    <t>SISO Závěs Sepa 180 stupňů, 52x18mm, 11 mm distanc</t>
  </si>
  <si>
    <t>SISO Držák panelu 18 mm, stříbrná barva</t>
  </si>
  <si>
    <t>SISO Držák panelu 18 mm, černá barva</t>
  </si>
  <si>
    <t>SISO Rektifikační kluzák průměr 20 mm černý (šroub)</t>
  </si>
  <si>
    <t>TWIN napínací výztuha 2690mm, výška křídla 2800 - 3000mm</t>
  </si>
  <si>
    <t>SEVROLL 05176 Gemini horní vedení 2,35m černá lesk</t>
  </si>
  <si>
    <t>SEVROLL 05156 Elegant II spodní vedení 2,35m černá lesk</t>
  </si>
  <si>
    <t>SEVROLL 05168 maska Elegant II 2,35m černá lesk</t>
  </si>
  <si>
    <t>STRONG Planio tlumič Central oboustranný+spodní antikolize</t>
  </si>
  <si>
    <t>K-STRONG Planio sada pro 3 křídla plné tlumení, středový tlumič, antikolize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</si>
  <si>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</si>
  <si>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</si>
  <si>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</si>
  <si>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</si>
  <si>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</si>
  <si>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</si>
  <si>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</si>
  <si>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Karat úchytová lišta 2,7m RAL7016 mat</t>
  </si>
  <si>
    <t>SEVROLL Gemini horní vedení 2,35m RAL7016 mat</t>
  </si>
  <si>
    <t>SEVROLL horní vodící lišta 3m RAL7016 mat</t>
  </si>
  <si>
    <t>SEVROLL horní vodící lišta 2,35m RAL7016 mat</t>
  </si>
  <si>
    <t>S-profil S10N stříbrný elox 2,7m</t>
  </si>
  <si>
    <t>S-S65 horní a střední profil 4/18mm 6m stříbrná</t>
  </si>
  <si>
    <t>S-S65 dolní profil 4/18mm 6m stříbrný</t>
  </si>
  <si>
    <t>S-S06N dolní vodící profil 6m stříbrný</t>
  </si>
  <si>
    <t>SEVROLL spodní krycí lišta 3m RAL7016 mat</t>
  </si>
  <si>
    <t>SEVROLL spodní krycí lišta 2,35m RAL7016 mat</t>
  </si>
  <si>
    <t>SEVROLL spojovací lišta H10 Decor 3m RAL7016 mat</t>
  </si>
  <si>
    <t>TWIN napínací výztuha 2390mm NA3 / 33078017</t>
  </si>
  <si>
    <t>STRONG Synchrotec sada plynulého otevírání 1,35m</t>
  </si>
  <si>
    <t>SEVROLL koncovka k liště Hide N RAL9003 mat</t>
  </si>
  <si>
    <t>S-doraz dolní S06N/NN</t>
  </si>
  <si>
    <t>S-šroub torx 4x40</t>
  </si>
  <si>
    <t>S-brzda pozicionér horní S05</t>
  </si>
  <si>
    <t>IC-úchytová lišta Berlin 10mm EU šampáň 5,3m</t>
  </si>
  <si>
    <t>SEVROLL 04414 Pax XL úchytová lišta 2,7m stříbrná</t>
  </si>
  <si>
    <t>SEVROLL 04421 Pax XL horní vodící lišta 3m stříbrná</t>
  </si>
  <si>
    <t>SEVROLL 04419 Pax XL spodní krycí lišta 3m 4mm stříbrná</t>
  </si>
  <si>
    <t>SEVROLL 20167 těsnění pro profil Pax XL</t>
  </si>
  <si>
    <t>SEVROLL vzorky forbykov</t>
  </si>
  <si>
    <t>SEVROLL Ergo úchytová lišta 2,7m RAL7039 mat</t>
  </si>
  <si>
    <t>SEVROLL maska Elegant II 2,35m RAL7039 mat</t>
  </si>
  <si>
    <t>SEVROLL Gemini horní vedení 2,35m RAL7039 mat</t>
  </si>
  <si>
    <t>SEVROLL Elegant II spodní vedení 2,35m RAL7039 mat</t>
  </si>
  <si>
    <t>SEVROLL úhelník 17x11mm 2,35m RAL7039 mat</t>
  </si>
  <si>
    <t>SEVROLL Ergo úchytová lišta 2,7m RAL9003 lesk</t>
  </si>
  <si>
    <t>SEVROLL Tytan úchytová lišta 2,7m RAL9005 mat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</si>
  <si>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</si>
  <si>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</si>
  <si>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</si>
  <si>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</si>
  <si>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</si>
  <si>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</si>
  <si>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</si>
  <si>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</si>
  <si>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IC-lišta krycí dolní koleje 3m alu</t>
  </si>
  <si>
    <t>S-S45 horní vodící profil 2m stříbrný</t>
  </si>
  <si>
    <t>S-S05 horní vodící profil 2m nerez</t>
  </si>
  <si>
    <t>S-S06NN spodní profil 2m elox nerez</t>
  </si>
  <si>
    <t>S-S06N krycí profil alu 2m nerez</t>
  </si>
  <si>
    <t>SEVROLL tlumič central Simple 18 25kg</t>
  </si>
  <si>
    <t>SEVROLL tlumič central Simple 18 40kg</t>
  </si>
  <si>
    <t>SEVROLL 05292 profil "U" pro lamino 18mm 3m černá lesk</t>
  </si>
  <si>
    <t>SEVROLL 05138 úhelník 17x11mm 1,7m černá lesk</t>
  </si>
  <si>
    <t>SEVROLL 05139 úhelník 17x11mm 2,35m černá lesk</t>
  </si>
  <si>
    <t>SEVROLL 05140 úhelník 17x11mm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</si>
  <si>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</si>
  <si>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</si>
  <si>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</si>
  <si>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</si>
  <si>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</si>
  <si>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</si>
  <si>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</si>
  <si>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</si>
  <si>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</si>
  <si>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</si>
  <si>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</si>
  <si>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</si>
  <si>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</si>
  <si>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</si>
  <si>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</si>
  <si>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</si>
  <si>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</si>
  <si>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</si>
  <si>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</si>
  <si>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S-S25 (H25SD) sada kování pro skládací dveře 25kg</t>
  </si>
  <si>
    <t>S-S25 (H25SD/DV) dolní profil 2m</t>
  </si>
  <si>
    <t>volná karta</t>
  </si>
  <si>
    <t>SEVROLL Karat grip rail 2,7m RAL9005 mat</t>
  </si>
  <si>
    <t>SEVROLL 01508 Single horní vedení 6m oliva</t>
  </si>
  <si>
    <t>SEVROLL 10230 spodní vozík WD10 V Duo 60kg (2 ks)</t>
  </si>
  <si>
    <t>SEVROLL sada kování Galaxy B 50kg + vedení na stěnu 2,5m</t>
  </si>
  <si>
    <t>SEVROLL Oaza II úchytová lišta 2,7m RAL9003 mat</t>
  </si>
  <si>
    <t>WC Věšák nerez</t>
  </si>
  <si>
    <t>WC Horní upevňovací svorka T 12 mm</t>
  </si>
  <si>
    <t>WC Rektifikační nožka VS-U univerzální 12 mm</t>
  </si>
  <si>
    <t>MSE-Faworyt II úchytová lišta 2,7m bílá matná</t>
  </si>
  <si>
    <t>MSE-Faworyt II úchytová lišta 2,7m bílá lesk</t>
  </si>
  <si>
    <t>SEVROLL Gemini horní vedení 4,05m RAL9203 lesk</t>
  </si>
  <si>
    <t>SEVROLL Factor 18 II 2,7m RAL9203 lesk</t>
  </si>
  <si>
    <t>SEVROLL 03199 Top horní vedení jednoduché 2,35m stříbrná</t>
  </si>
  <si>
    <t>S-S65 horní a střední profil 2m nerez</t>
  </si>
  <si>
    <t>S-S65 dolní profil 4/18mm 2m nerez</t>
  </si>
  <si>
    <t>S-kartáč dorazový nízký 12,8x4,6mm bílý</t>
  </si>
  <si>
    <t>K-SEVROLL sada kování pro interiérové dveře Simple 18 Galaxy 50kg brzda + tlumič</t>
  </si>
  <si>
    <t>K-SEVROLL sada kování pro interiérové dveře Simple 18 Galaxy 50kg  2x tlumič</t>
  </si>
  <si>
    <t>IC-horní vedení 5m šampáň</t>
  </si>
  <si>
    <t>IC-spodní vedení 5m šampáň</t>
  </si>
  <si>
    <t>IC-horní vedení  2m  stříbrné</t>
  </si>
  <si>
    <t>IC-horní vedení 3m  stříbrné</t>
  </si>
  <si>
    <t>IC-horní vedení 5m stříbrné</t>
  </si>
  <si>
    <t>IC-spodní vedení 2m stříbrné</t>
  </si>
  <si>
    <t>IC-spodní vedení 3m stříbrné</t>
  </si>
  <si>
    <t>IC-spodní vedení 5m stříbrné</t>
  </si>
  <si>
    <t>IC-sada vozíků Comfort 1 křídlo</t>
  </si>
  <si>
    <t>IC-sada vozíků symetrická 1 křídlo</t>
  </si>
  <si>
    <t>IC-pozicionér</t>
  </si>
  <si>
    <t>IC-spona dorazového kartáčku</t>
  </si>
  <si>
    <t>IC-tlumič dorazu pravý</t>
  </si>
  <si>
    <t>IC-tlumič dorazu levý</t>
  </si>
  <si>
    <t>IC-těsnění na sklo 12/6,4mm</t>
  </si>
  <si>
    <t>SEVROLL 214-380 Herkules plus horní vedení 1,2m</t>
  </si>
  <si>
    <t>SEVROLL 215-093 vozík HP40 Herkules plus</t>
  </si>
  <si>
    <t>SEVROLL 134-121 závěs dveří 25kg</t>
  </si>
  <si>
    <t>S-sada kování S25</t>
  </si>
  <si>
    <t>S-horní lišta S25 1m</t>
  </si>
  <si>
    <t>S-spodní lišta S25 1m</t>
  </si>
  <si>
    <t>IC-krycí lišta samolepící 3m šampáň</t>
  </si>
  <si>
    <t>IC-oboustranná lepící páska čirá 14mm/50m</t>
  </si>
  <si>
    <t>K-akční set Space 2 křídla brzda 2m</t>
  </si>
  <si>
    <t>SEVROLL zakázka RAL 7016 mat</t>
  </si>
  <si>
    <t>S-madlo S70a 2,7m (profil H09)</t>
  </si>
  <si>
    <t>S-madlo S70c 2,7m (profil H11)</t>
  </si>
  <si>
    <t>S-brzda S35</t>
  </si>
  <si>
    <t>SALU zakázka NV13697</t>
  </si>
  <si>
    <t>S-Softclose S65 (Slidix T40) tlumič</t>
  </si>
  <si>
    <t>S-profil S09 stř.elox 2,7m</t>
  </si>
  <si>
    <t>SEVROLL výprodej</t>
  </si>
  <si>
    <t>S-profil S40/80 4m ocel</t>
  </si>
  <si>
    <t>SEVROLL Fox II úchytová lišta 2,7m RAL5000 mat</t>
  </si>
  <si>
    <t>SEVROLL Gemini horní vedení 3m RAL5000 mat</t>
  </si>
  <si>
    <t>SEVROLL horní vodící lišta 3m RAL5000 mat</t>
  </si>
  <si>
    <t>SEVROLL spodní krycí lišta 3m RAL5000 mat</t>
  </si>
  <si>
    <t>SEVROLL Universal úchytová lišta 2,7m RAL9003 mat</t>
  </si>
  <si>
    <t>SEVROLL sada kování Galaxy B 50kg + vedení na stěnu 2m</t>
  </si>
  <si>
    <t>IC-horní vedení EU 6m šampáň</t>
  </si>
  <si>
    <t>IC-spodní vedení EU 6m šampáň</t>
  </si>
  <si>
    <t>IC-horní vodící lišta EU 10mm 6m šampáň</t>
  </si>
  <si>
    <t>IC-spodní krycí lišta EU 10mm 6m šampáň</t>
  </si>
  <si>
    <t>EKU 057.3133.072 Eku Porta 60 HM posuvné interiérové kování sada kování do 60kg</t>
  </si>
  <si>
    <t>EKU 057.3016.201 Porta 60  posuvné interiérové kování 100kg horní vedení 2m elox</t>
  </si>
  <si>
    <t>EKU 042.3102.072  Eku Porta 60  posuvné interiérové kování tlumič do 60kg</t>
  </si>
  <si>
    <t>S-S20/30 alu elox lišta dvojitá 3,5m</t>
  </si>
  <si>
    <t>MSE-Julia II úchytová lišta 2,7m stříbrná</t>
  </si>
  <si>
    <t>MSE-Factor 16 II-úchytová lišta stříbrná 2,7m</t>
  </si>
  <si>
    <t>MSE-Faworyt II úchytová lišta 2,7m stříbrná</t>
  </si>
  <si>
    <t>MSE-Optima 16 úchytová lišta 2,4m stříbrná</t>
  </si>
  <si>
    <t>MSE-Optima spodní vedení 2m surová</t>
  </si>
  <si>
    <t>MSE-Optima spodní vedení 2,4m surová</t>
  </si>
  <si>
    <t>MSE-Optima horní vedení 2m stříbrná</t>
  </si>
  <si>
    <t>MSE-Optima horní vedení 2,4m stříbrná</t>
  </si>
  <si>
    <t>MSE-Optima sada kování  (dvoje dveře)</t>
  </si>
  <si>
    <t>MSE-profil "U"  DTD 16mm  3m stříbrný</t>
  </si>
  <si>
    <t>MSE-Ergo 16 úchytová lišta 2,7m stříbrná</t>
  </si>
  <si>
    <t>MSE-Fiesta 16 úchytová lišta 2,7m stříbrná</t>
  </si>
  <si>
    <t>MSE-Universal 16 úchytová lišta 2,7m stříbrná</t>
  </si>
  <si>
    <t>MSE-spojovací lišta H30 3m stříbrná</t>
  </si>
  <si>
    <t>MSE-spojovací lišta H10 3m stříbrná</t>
  </si>
  <si>
    <t>S-S06NN dolní vodící profil 2m stříbrný</t>
  </si>
  <si>
    <t>S-S06N krycí profil (maska) 2m stříbrný</t>
  </si>
  <si>
    <t>S-S06N krycí profil 3,5m stříbrný elox</t>
  </si>
  <si>
    <t>SEVROLL 03889 Gemini horní vedení 3m bílá mat</t>
  </si>
  <si>
    <t>SEVROLL Fox II úchytová lišta 2,7m RAL9003 mat</t>
  </si>
  <si>
    <t>SEVROLL horní vodící lišta 3m RAL9003 mat</t>
  </si>
  <si>
    <t>SEVROLL spodní krycí lišta 3m RAL9003 mat</t>
  </si>
  <si>
    <t>S-sada kování S55B</t>
  </si>
  <si>
    <t>IC-těsnění na sklo 10/6mm</t>
  </si>
  <si>
    <t>IC-horní vedení jednoduché 2m šampáň</t>
  </si>
  <si>
    <t>IC-horní vedení jednoduché 3m šampáň</t>
  </si>
  <si>
    <t>IC-horní vedení jednoduché 5m šampáň</t>
  </si>
  <si>
    <t>IC-spodní vedení jednoduché 2m šampáň</t>
  </si>
  <si>
    <t>IC-spodní vedení jednoduché 3m šampáň</t>
  </si>
  <si>
    <t>IC-spodní vedení jednoduché 5m šampáň</t>
  </si>
  <si>
    <t>IC-úch.lišta Comfort 12mm 2,6m  šampáň</t>
  </si>
  <si>
    <t>SEVROLL Maxim horní vedení 2,5m RAL9003 mat</t>
  </si>
  <si>
    <t>SEVROLL Maxim II spodní vedení 2,5m RAL9003 mat</t>
  </si>
  <si>
    <t>SEVROLL Maxim II maska 2,5m RAL9003 mat</t>
  </si>
  <si>
    <t>SEVROLL Maxim vodící lišta 2,5m RAL9003 mat</t>
  </si>
  <si>
    <t>SEVROLL Maxim spodní krycí lišta 2,5m RAL9003 mat</t>
  </si>
  <si>
    <t>SEVROLL Prosper úchytová lišta 2,7m RAL9003 mat</t>
  </si>
  <si>
    <t>S-Softclose S65 (Slidix T60) tlumič</t>
  </si>
  <si>
    <t>MSE-spojovací lišta H16 3m stříbrná</t>
  </si>
  <si>
    <t>MSE-spojovací lišta H16 3m oliva</t>
  </si>
  <si>
    <t>MSE-spojovací lišta H08/16 3m stříbrná</t>
  </si>
  <si>
    <t>MSE-spojovací lišta H08/16 3m oliva</t>
  </si>
  <si>
    <t>SEVROLL zakázka Hančák RAL 7015 mat</t>
  </si>
  <si>
    <t>S-profil S04N stříbrný elox 2,7m</t>
  </si>
  <si>
    <t>S-S03 vodící profil alu elox 1,2m</t>
  </si>
  <si>
    <t>S-S55 dolní příčka 3m stříbrná</t>
  </si>
  <si>
    <t>S-těsnění pro sklo 4mm</t>
  </si>
  <si>
    <t>S-profil S16 2,7m stříbrná</t>
  </si>
  <si>
    <t>TWIN napínací výztuha 1860mm</t>
  </si>
  <si>
    <t>SEVROLL vzorky Plachá</t>
  </si>
  <si>
    <t>S-těsnění pro sklo 6mm</t>
  </si>
  <si>
    <t>S-S55 dolní příčka 3,5m stříbrná</t>
  </si>
  <si>
    <t>S-S55 horní a středová příčka 3,5m stříbrná</t>
  </si>
  <si>
    <t>S-profil S17 2,7m stříbrná</t>
  </si>
  <si>
    <t>S-Softclose Simple S55 T25 tlumič</t>
  </si>
  <si>
    <t>S-Softclose Simple S55 T40 tlumič</t>
  </si>
  <si>
    <t>S-Softclose Simple S55 T60 tlumič</t>
  </si>
  <si>
    <t>EKU 061.3072.371 Eku-Forte 580mm, RAL 7035, nosnost 170 kg</t>
  </si>
  <si>
    <t>EKU 061.3049.171 Eku-Forte tlumič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</si>
  <si>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</si>
  <si>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</si>
  <si>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</si>
  <si>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</si>
  <si>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</si>
  <si>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</si>
  <si>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</si>
  <si>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</si>
  <si>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</si>
  <si>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</si>
  <si>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</si>
  <si>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</si>
  <si>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</si>
  <si>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</si>
  <si>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</si>
  <si>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</si>
  <si>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</si>
  <si>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</si>
  <si>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</si>
  <si>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SKlo Delfi zak.č.2130/2809/sklo9005/7ks</t>
  </si>
  <si>
    <t>Skř Delfi zak.č.2152/2813/WinsdorŠam/2ks</t>
  </si>
  <si>
    <t>Skříně Delfi zak.č.2532/3272/Syst10/4ks</t>
  </si>
  <si>
    <t>Dveře zak.1140/1543/windsor/2ks</t>
  </si>
  <si>
    <t>Sevroll zakázka Albakmen RAL9003 lesk</t>
  </si>
  <si>
    <t>S-S80 brzda</t>
  </si>
  <si>
    <t>S-S40/80/100 vodítko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</si>
  <si>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</si>
  <si>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</si>
  <si>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</si>
  <si>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</si>
  <si>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SEVROLL Era úchytová lišta 18mm 2,70m stříbrná (akce)</t>
  </si>
  <si>
    <t>Akční set 20x madlo Era stříbrná + 10x sada horních a spodních vozíků</t>
  </si>
  <si>
    <t>Skříně zak.č. 1978/86/rome/zrc/3ks</t>
  </si>
  <si>
    <t>SEVROLL 05307 Fox II úchytová lišta 2,7m černá mat</t>
  </si>
  <si>
    <t>SEVROLL Single horní vedení 6m RAL9003 lesk</t>
  </si>
  <si>
    <t>SEVROLL Hide N spodní vedení 6m RAL9003 lesk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</si>
  <si>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</si>
  <si>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</si>
  <si>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</si>
  <si>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</si>
  <si>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</si>
  <si>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</si>
  <si>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</si>
  <si>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</si>
  <si>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</si>
  <si>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</si>
  <si>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</si>
  <si>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</si>
  <si>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</si>
  <si>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</si>
  <si>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</si>
  <si>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</si>
  <si>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</si>
  <si>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</si>
  <si>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</si>
  <si>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</si>
  <si>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</si>
  <si>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SEVROLL Eden horizontální lišta 3m bílá lesk</t>
  </si>
  <si>
    <t>SEVROLL Eden horní krytka 1,1m stříbrná</t>
  </si>
  <si>
    <t>SEVROLL vzorky Kronomak</t>
  </si>
  <si>
    <t>V-SEVROLL okrasná lišta S10 3m stříbrná</t>
  </si>
  <si>
    <t>V-SEVROLL okrasná lišta S20 3m stříbrná</t>
  </si>
  <si>
    <t>EKU 053.3115.071 Clipo 15 H IS</t>
  </si>
  <si>
    <t>S-Softclose Simple S60 T25 tlumič</t>
  </si>
  <si>
    <t>S-U profil pro lamino 18mm 2m stříbrný</t>
  </si>
  <si>
    <t>S-narážecí profil 28mm 2m stříbrný</t>
  </si>
  <si>
    <t>SEVROLL 10024-SV ZR18 sada pro rozevírací dveře</t>
  </si>
  <si>
    <t>Vodící trn Omge 1390/1400</t>
  </si>
  <si>
    <t>WC Al elox profil horní 13/18 mm pro kabinky, délka 3,2m</t>
  </si>
  <si>
    <t>WC Al elox profil horní 10/25 mm pro kabinky, délka 3,2m</t>
  </si>
  <si>
    <t>SEVROLL Elegant spodní vedení 1,7m RAL9003 mat</t>
  </si>
  <si>
    <t>SEVROLL Single horní vedení 1,7m RAL9003 mat</t>
  </si>
  <si>
    <t>SEVROLL Smart spodní vedení 1,7m RAL9003 mat</t>
  </si>
  <si>
    <t>S-Softclose Simple S60 T40 tlumič</t>
  </si>
  <si>
    <t>S-Softclose Simple S60 T60 tlumič</t>
  </si>
  <si>
    <t>IC-horní vedení EU 4m šampáň</t>
  </si>
  <si>
    <t>IC-spodní vedení EU 4m šampáň</t>
  </si>
  <si>
    <t>IC-sada horních vozíků (2ks) pro Rome</t>
  </si>
  <si>
    <t>IC-sada spodních vozíků (2ks) pro Rome</t>
  </si>
  <si>
    <t>SEVROLL Libra lišta 18mm 2,70m RAL9003 mat</t>
  </si>
  <si>
    <t>SEVROLL úhelník 17x11mm 3m RAL9010 mat</t>
  </si>
  <si>
    <t>SEVROLL úhelník 17x11mm 2,35m RAL9003 mat</t>
  </si>
  <si>
    <t>SEVROLL Alfa II lišta 18mm 2,70m RAL9010 mat</t>
  </si>
  <si>
    <t>SEVROLL Single horní vedení 3m RAL9003 mat</t>
  </si>
  <si>
    <t>SEVROLL Smart spodní vedení 3m RAL9003 mat</t>
  </si>
  <si>
    <t>SEVROLL vodící lišta Simple/Blue 3m (pro lamino 18mm) RAL9003 mat</t>
  </si>
  <si>
    <t>SEVROLL krycí lišta Simple/Blue 3m (pro lamino 18mm) RAL9003 mat</t>
  </si>
  <si>
    <t>SEVROLL Simple horní vedení 3m RAL9003 mat</t>
  </si>
  <si>
    <t>SEVROLL Simple spodní vedení 3m RAL9003 mat</t>
  </si>
  <si>
    <t>S-S45-kryt předních dveří 2m stř.</t>
  </si>
  <si>
    <t>IC-dorazový kartáč zásuvný 14,5x4mm</t>
  </si>
  <si>
    <t>SEVROLL 20265-SV sada kování pro tlumič Mini</t>
  </si>
  <si>
    <t>SEVROLL vzorky Brno</t>
  </si>
  <si>
    <t>Vzorník úchytových lišt šanon PRODEJ</t>
  </si>
  <si>
    <t>WC Al elox profil horní 18/25 mm pro kabinky, délka 1,98 m</t>
  </si>
  <si>
    <t>WC Al elox profil horní 18/25 mm pro kabinky, délka 3,96 m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</si>
  <si>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</si>
  <si>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</si>
  <si>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</si>
  <si>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</si>
  <si>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</si>
  <si>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</si>
  <si>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DI spodní vozík</t>
  </si>
  <si>
    <t>DI horní vozík</t>
  </si>
  <si>
    <t>SEVROLL 10066-SV sada kování ZSE-10</t>
  </si>
  <si>
    <t>S-S50 horní lišta alu surová 2m</t>
  </si>
  <si>
    <t>S-S50 horní lišta alu surová 3m</t>
  </si>
  <si>
    <t>S-S50 spodní lišta alu surová 2m</t>
  </si>
  <si>
    <t>SEVROLL samolepka Doživotní záruka velká CZ</t>
  </si>
  <si>
    <t>SEVROLL samolepka Doživotní záruka velká SK</t>
  </si>
  <si>
    <t>SEVROLL samolepka Doživotní záruka velká HU</t>
  </si>
  <si>
    <t>SEVROLL samolepka Doživotní záruka malá CZ</t>
  </si>
  <si>
    <t>SEVROLL samolepka Doživotní záruka malá SK</t>
  </si>
  <si>
    <t>SEVROLL samolepka Doživotní záruka malá HU</t>
  </si>
  <si>
    <t>S-sada kování S65-2</t>
  </si>
  <si>
    <t>S-profil S10 stříbrný elox 2,7m</t>
  </si>
  <si>
    <t>MSE-spodní vozík pro DTD 18mm</t>
  </si>
  <si>
    <t>Výztuha dveří max. 2250mm černá</t>
  </si>
  <si>
    <t>Výztuha dveří max. 2250mm bílá</t>
  </si>
  <si>
    <t>WC Závěs pravý (šrouby) H70 10mm</t>
  </si>
  <si>
    <t>WC Závěs levý (šrouby) H70 10mm</t>
  </si>
  <si>
    <t>WC Závěs levý (vruty) SH70 18 mm</t>
  </si>
  <si>
    <t>WC Závěs pravý (vruty) SH70 18 mm</t>
  </si>
  <si>
    <t>Vzorník úchytových lišt 2017 šanon PRODEJ</t>
  </si>
  <si>
    <t>S-Softclose S60/S60N (Slidix T40) tlumič</t>
  </si>
  <si>
    <t>SEVROLL Tytan úchytová lišta 2,7m RAL7016 mat</t>
  </si>
  <si>
    <t>SEVROLL spojovací lišta H08/18 3m RAL7016 mat</t>
  </si>
  <si>
    <t>SEVROLL Rekord úchytová lišta 18mm 2,70m RAL7021 mat</t>
  </si>
  <si>
    <t>SEVROLL Blue horní vedení 3m RAL7021 mat</t>
  </si>
  <si>
    <t>SEVROLL Blue-V spodní vedení 3m RAL7021 mat</t>
  </si>
  <si>
    <t>SEVROLL horní vodící lišta Simple/Blue 3m (pro lamino 18mm) RAL7021 mat</t>
  </si>
  <si>
    <t>SEVROLL spodní krycí lišta Simple/Blue 3m (pro lamino 18mm) RAL7021 mat</t>
  </si>
  <si>
    <t>SEVROLL 05298 úhelník 17x11mm 3m černá mat</t>
  </si>
  <si>
    <t>SEVROLL 05315 Gemini horní vedení 3m černá mat</t>
  </si>
  <si>
    <t>SEVROLL 05310 Elegant II spodní vedení 3m černá mat</t>
  </si>
  <si>
    <t>SEVROLL horní vodící lišta Simple/Blue 1,5m (pro lamino 18mm) RAL9003 lesk</t>
  </si>
  <si>
    <t>S-profil S22 2,7m stříbrná</t>
  </si>
  <si>
    <t>S-S55 horní a středová příčka 2,5m stříbrná</t>
  </si>
  <si>
    <t>S-S55 dolní příčka 2,5m stříbrná</t>
  </si>
  <si>
    <t>S-S06N dolní vodící profil 2,5m stříbrná</t>
  </si>
  <si>
    <t>S-sada kování S90-W1 inox 2,0m</t>
  </si>
  <si>
    <t>SEVROLL 05305 Alfa II úchytová lišta 18mm 2,7m černá mat</t>
  </si>
  <si>
    <t>SEVROLL úhelník 17x11mm 3m RAL9005 mat</t>
  </si>
  <si>
    <t>SEVROLL Gemini horní vedení 3m RAL9005 mat</t>
  </si>
  <si>
    <t>S-sada kování S80SC doplňková</t>
  </si>
  <si>
    <t>S-sada kování S36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</si>
  <si>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</si>
  <si>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</si>
  <si>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</si>
  <si>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</si>
  <si>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</si>
  <si>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</si>
  <si>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</si>
  <si>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</si>
  <si>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</si>
  <si>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</si>
  <si>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</si>
  <si>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</si>
  <si>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</si>
  <si>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Comfort horní vedení 1,7m RAL9005 lesk</t>
  </si>
  <si>
    <t>SEVROLL Doubler II spodní vedení 1,7m RAL9005 lesk</t>
  </si>
  <si>
    <t>SEVROLL Doubler II maska 1,7m RAL9005 lesk</t>
  </si>
  <si>
    <t>SEVROLL Blue horní vedení 1,5m RAL9003 lesk</t>
  </si>
  <si>
    <t>SEVROLL Blue-V spodní vedení 1,5m RAL9003 lesk</t>
  </si>
  <si>
    <t>SEVROLL úhelník K2 Decor 1,7m RAL9003 lesk</t>
  </si>
  <si>
    <t>S-S05-1-horní vod.profil jednod. 3m stř.</t>
  </si>
  <si>
    <t>S-S55 horní a středová příčka 3m stříbrná</t>
  </si>
  <si>
    <t>Twin Minimal II  2000mm/F9 do 80 kg SOFT 2</t>
  </si>
  <si>
    <t>WC Rektifikační nožka VS-U univerzální 18 mm</t>
  </si>
  <si>
    <t>WC Horní upevňovací svorka T 18 mm</t>
  </si>
  <si>
    <t>WC Závěs pravý (šrouby) H70 18 mm</t>
  </si>
  <si>
    <t>WC Závěs levý (šrouby) H70 18 mm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</si>
  <si>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</si>
  <si>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</si>
  <si>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</si>
  <si>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</si>
  <si>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</si>
  <si>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</si>
  <si>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</si>
  <si>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</si>
  <si>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</si>
  <si>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</si>
  <si>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</si>
  <si>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</si>
  <si>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</si>
  <si>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</si>
  <si>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</si>
  <si>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00093-A úhelník 17x11mm 1,7m oliva new</t>
  </si>
  <si>
    <t>SEVROLL 00094-A úhelník 17x11mm 2,35m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</si>
  <si>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</si>
  <si>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</si>
  <si>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</si>
  <si>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</si>
  <si>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</si>
  <si>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</si>
  <si>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</si>
  <si>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</si>
  <si>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</si>
  <si>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</si>
  <si>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</si>
  <si>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</si>
  <si>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</si>
  <si>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</si>
  <si>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</si>
  <si>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</si>
  <si>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</si>
  <si>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</si>
  <si>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</si>
  <si>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</si>
  <si>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</si>
  <si>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</si>
  <si>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</si>
  <si>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</si>
  <si>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</si>
  <si>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</si>
  <si>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</si>
  <si>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</si>
  <si>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</si>
  <si>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</si>
  <si>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</si>
  <si>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</si>
  <si>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</si>
  <si>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</si>
  <si>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</si>
  <si>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</si>
  <si>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</si>
  <si>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</si>
  <si>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</si>
  <si>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</si>
  <si>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</si>
  <si>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</si>
  <si>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</si>
  <si>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</si>
  <si>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</si>
  <si>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</si>
  <si>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</si>
  <si>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</si>
  <si>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</si>
  <si>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</si>
  <si>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</si>
  <si>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</si>
  <si>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</si>
  <si>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</si>
  <si>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</si>
  <si>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</si>
  <si>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</si>
  <si>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</si>
  <si>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</si>
  <si>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</si>
  <si>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</si>
  <si>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</si>
  <si>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</si>
  <si>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</si>
  <si>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</si>
  <si>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</si>
  <si>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</si>
  <si>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</si>
  <si>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</si>
  <si>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</si>
  <si>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</si>
  <si>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</si>
  <si>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</si>
  <si>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</si>
  <si>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</si>
  <si>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</si>
  <si>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</si>
  <si>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</si>
  <si>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</si>
  <si>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</si>
  <si>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</si>
  <si>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</si>
  <si>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</si>
  <si>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</si>
  <si>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</si>
  <si>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</si>
  <si>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</si>
  <si>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</si>
  <si>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</si>
  <si>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</si>
  <si>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</si>
  <si>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</si>
  <si>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</si>
  <si>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</si>
  <si>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</si>
  <si>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</si>
  <si>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</si>
  <si>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</si>
  <si>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</si>
  <si>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</si>
  <si>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</si>
  <si>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</si>
  <si>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</si>
  <si>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</si>
  <si>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</si>
  <si>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</si>
  <si>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</si>
  <si>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</si>
  <si>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</si>
  <si>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</si>
  <si>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</si>
  <si>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</si>
  <si>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</si>
  <si>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</si>
  <si>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</si>
  <si>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</si>
  <si>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</si>
  <si>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</si>
  <si>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</si>
  <si>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</si>
  <si>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</si>
  <si>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</si>
  <si>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S-S06NN spodní profil 2,5m elox stříbrný</t>
  </si>
  <si>
    <t>SEVROLL sada vozíků 18mm (3x) + pozicionér Fix</t>
  </si>
  <si>
    <t>SEVROLL sada vozíků 10mm symetrické (2x) + pozicionér Fix</t>
  </si>
  <si>
    <t>SEVROLL sada vozíků 10mm asymetrické (2x) + pozicionér Fix</t>
  </si>
  <si>
    <t>SEVROLL akce HU</t>
  </si>
  <si>
    <t>Dvířka zak.č.1273/21000056/Factor/8100/lacobel 9003/2ks</t>
  </si>
  <si>
    <t>Dvířka zak.č.1331/062/Comford šampaň/Zrcadlo+3303/2ks</t>
  </si>
  <si>
    <t>Dvířka zak.č.1333/21000063/Comfort/H1330/zrcadlo/2ks</t>
  </si>
  <si>
    <t>Dvířka zak.č.1502/ 2264 komponenty šampaň+kolečka</t>
  </si>
  <si>
    <t>Dvířka zak.č.1502/0070/  Berlín šampaň/3025 SN +zrcadlo/ 3křídla</t>
  </si>
  <si>
    <t>Dvířka zak.č.1505/0072/ FOX černá kart/H3303/4křídla</t>
  </si>
  <si>
    <t>Dvířka zak.č.1506/0071/ FOX černá kart/H3303/4křídla</t>
  </si>
  <si>
    <t>Dvířka zak.č.1541/78/Sydney hliník+W980ST2/2ks</t>
  </si>
  <si>
    <t>Dvířka zak.č.1542/79/Rome šampaň+W980ST2/2ks</t>
  </si>
  <si>
    <t>Dvířka zak.č.1639/81/ Fox stříbrná /W1000 ST9/ 3ks</t>
  </si>
  <si>
    <t>Dvířka zak.č.1691/88/Berlin šampaň + W962 ST2/ 2křídla</t>
  </si>
  <si>
    <t>Dvířka zak.č. 1692/89/Berlin šampaň/W962 ST2/ 3křídla</t>
  </si>
  <si>
    <t>SEVROLL Elegant II spodní vedení 3m RAL9003 mat</t>
  </si>
  <si>
    <t>SEVROLL Elegant II spodní vedení 3m RAL9005 mat</t>
  </si>
  <si>
    <t>SEVROLL Gemini horní vedení 3m RAL9003 mat</t>
  </si>
  <si>
    <t>SEVROLL úhelník 17x11mm 3m RAL9003 mat</t>
  </si>
  <si>
    <t>SEVROLL úhelník 17x11mm 1,7m RAL9005 mat</t>
  </si>
  <si>
    <t>S-profil S13B 2,7m stříbrný elox</t>
  </si>
  <si>
    <t>S-sada kování SPS PV</t>
  </si>
  <si>
    <t>S-sada kování SPS ZV</t>
  </si>
  <si>
    <t>S-vodicí lišta SPS pro šikmé dveře 3m stříbrná</t>
  </si>
  <si>
    <t>S-S06N-dolní vodící profil 4,5m stříbrný</t>
  </si>
  <si>
    <t>S-S05-horní vodící profil 5m stříbrný</t>
  </si>
  <si>
    <t>S-kartáč dorazový nízký bez lepidla 4,8x6mm šedý</t>
  </si>
  <si>
    <t>SEVROLL 214-820 U profile ocelový 6m stříbrný</t>
  </si>
  <si>
    <t>Posuvné interiérové kování 01499/2AM/27/1900/10 80kg</t>
  </si>
  <si>
    <t>SEVROLL Gemini horní vedení 3m RAL7005 mat</t>
  </si>
  <si>
    <t>SEVROLL Elegant II spodní vedení 3m RAL7005 mat</t>
  </si>
  <si>
    <t>SEVROLL Ergo úchytová lišta 2,7m RAL7005 mat</t>
  </si>
  <si>
    <t>Kartáč zásuvný 6,7x7mm šedý</t>
  </si>
  <si>
    <t>S-sada kování S65</t>
  </si>
  <si>
    <t>S-S05 horní vodící profil 3,5m stříbrný</t>
  </si>
  <si>
    <t>S-S05 horní vod profil 4m stříbrný</t>
  </si>
  <si>
    <t>S-S06 dolní vodící profil alu 3m</t>
  </si>
  <si>
    <t>Posuvné interiérové kování 1390 40kg</t>
  </si>
  <si>
    <t>Posuvné interiérové kování 1391/120 40kg</t>
  </si>
  <si>
    <t>Posuvné interiérové kování 1391/155 40kg</t>
  </si>
  <si>
    <t>Posuvné interiérové kování 1391/190 40kg</t>
  </si>
  <si>
    <t>Posuvné interiérové kování 1391/230 40kg</t>
  </si>
  <si>
    <t>Posuvné interiérové kování 1391/280 40kg</t>
  </si>
  <si>
    <t>Posuvné interiérové kování 1391/330 40kg</t>
  </si>
  <si>
    <t>SEVROLL U profil ocelový 2m stříbrný</t>
  </si>
  <si>
    <t>SEVROLL sada Herkules plus 40kg pro 2 křídla</t>
  </si>
  <si>
    <t>SEVROLL vodítko pro skládací dveře Herkules</t>
  </si>
  <si>
    <t>SEVROLL středový závěs pružinový stříbrný</t>
  </si>
  <si>
    <t>SEVROLL Herkules plus horní vedení 1,5m</t>
  </si>
  <si>
    <t>S-Softclose S60/S60N - plíšek</t>
  </si>
  <si>
    <t>SEVROLL Alfa II lišta 18mm 2,70m RAL9003 mat</t>
  </si>
  <si>
    <t>SEVROLL Gemini horní vedení 1,7m RAL9003 mat</t>
  </si>
  <si>
    <t>SEVROLL úhelník K2 Decor 3m RAL9003 mat</t>
  </si>
  <si>
    <t>SEVROLL spojovací lišta H18 3m RAL9003 mat</t>
  </si>
  <si>
    <t>S-sada kování S80SC včetně tlumiče</t>
  </si>
  <si>
    <t>SEVROLL Fox II úchytová lišta 2,7m RAL9010 mat</t>
  </si>
  <si>
    <t>SEVROLL Gemini horní vedení 3m RAL9010 mat</t>
  </si>
  <si>
    <t>SEVROLL horní vodící lišta 3m RAL9010 mat</t>
  </si>
  <si>
    <t>SEVROLL spodní krycí lišta 3m RAL9010 mat</t>
  </si>
  <si>
    <t>DVEŘE ZAKÁZ.č.2303-14/41-doob.1 křídlo+k</t>
  </si>
  <si>
    <t>SEV-boční krytka profilu Single+pozic.</t>
  </si>
  <si>
    <t>S-profil S11 stříbrný elox 2,7m</t>
  </si>
  <si>
    <t>SCH 103 352 270</t>
  </si>
  <si>
    <t>SCH 103 352 263</t>
  </si>
  <si>
    <t>SCH 103 352 307</t>
  </si>
  <si>
    <t>WC Zavírač s indikátorem obsazeno/volno 12 mm</t>
  </si>
  <si>
    <t>WC Zavírač s indikátorem obsazeno/volno, pro odsazený závěs, pro lamino 12 mm</t>
  </si>
  <si>
    <t>WC Dveřní úchytka H45</t>
  </si>
  <si>
    <t>WC Dveřní doraz</t>
  </si>
  <si>
    <t>WC Dveřní úchytka H38</t>
  </si>
  <si>
    <t>WC Úhelník (přichycení ke zdi)</t>
  </si>
  <si>
    <t>WC Závěs levý (šrouby) H70 12 mm</t>
  </si>
  <si>
    <t>WC Závěs pravý (šrouby) H70 12 mm</t>
  </si>
  <si>
    <t>WC Závěs levý (vruty) SH70 12 mm</t>
  </si>
  <si>
    <t>WC Závěs pravý (vruty) SH70 12 mm</t>
  </si>
  <si>
    <t>WC Závěs levý odsazený (vruty) VSH70</t>
  </si>
  <si>
    <t>WC Závěs pravý odsazený (vruty) VSH70</t>
  </si>
  <si>
    <t>WC Spojovací trubka 32 mm - 1 m</t>
  </si>
  <si>
    <t>WC Spojovací trubka 32 mm - 3 m</t>
  </si>
  <si>
    <t>WC Přichycení trubky na zeď</t>
  </si>
  <si>
    <t>WC Rohový spoj trubky 90stupňů</t>
  </si>
  <si>
    <t>WC Spojnice trubky T</t>
  </si>
  <si>
    <t>WC Horní vedení 13/18 - 3,2 m</t>
  </si>
  <si>
    <t>WC Horní vedení 10/25 - 3,2 m</t>
  </si>
  <si>
    <t>WC U profil 10 mm - 1,95 m</t>
  </si>
  <si>
    <t>WC U profil 12 mm - 1,90 m</t>
  </si>
  <si>
    <t>WC U profil 25 mm - 1,95 m</t>
  </si>
  <si>
    <t>WC Horní upevňující svorka 90stupňů</t>
  </si>
  <si>
    <t>S-S15 úchytový profil + krycí profil alu 2,7m</t>
  </si>
  <si>
    <t>S-sada kování S55A</t>
  </si>
  <si>
    <t>IC-spojka na šikmé Comfort hliníkové dveře</t>
  </si>
  <si>
    <t>S-kartáč dorazový nízký 12,8x4,6mm šedý</t>
  </si>
  <si>
    <t>IC-úchytová lišta Portland 10mm 2,7m stříbrná</t>
  </si>
  <si>
    <t>SEVROLL Factor 18 II 2,70m RAL9003 mat</t>
  </si>
  <si>
    <t>S-oboustranný tlumič Slidix Centro T25 S55/S60/S65</t>
  </si>
  <si>
    <t>SEVROLL Fox II úchytová lišta 2,7m RAL9005 mat</t>
  </si>
  <si>
    <t>SEVROLL Gemini horní vedení 4,05m RAL9005 mat</t>
  </si>
  <si>
    <t>SEVROLL horní vodící lišta 3m RAL9005 mat</t>
  </si>
  <si>
    <t>SEVROLL spodní krycí lišta 3m RAL9005 mat</t>
  </si>
  <si>
    <t>SEVROLL spojovací lišta H10 3m RAL9005 mat</t>
  </si>
  <si>
    <t>IC-spodní vedení 3m arktické stříbro</t>
  </si>
  <si>
    <t>IC-vodorovná lišta 10mm 2,4m arktické stříbro</t>
  </si>
  <si>
    <t>S-S06NN spodní profil 3m elox stříbrný</t>
  </si>
  <si>
    <t>DVEŘE ZAKÁZKA-vzorky dorazů divendoor3ks</t>
  </si>
  <si>
    <t>S-Softclose S60/S60N (Slidix T25) tlumič</t>
  </si>
  <si>
    <t>IC-Zakázka 12000016-3590x2035 mm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</si>
  <si>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</si>
  <si>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</si>
  <si>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</si>
  <si>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</si>
  <si>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</si>
  <si>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IC-horní vedení jednoduché 2m stříbrné</t>
  </si>
  <si>
    <t>IC-horní vedení jednoduché 3m stříbrné</t>
  </si>
  <si>
    <t>IC-spodní vedení jednoduché 2m stříbrné</t>
  </si>
  <si>
    <t>IC-spodní vedení jednoduché 3m stříbrné</t>
  </si>
  <si>
    <t>IC-spodní vedení jednoduché 5m stříbrné</t>
  </si>
  <si>
    <t>IC-Zakázka 12000019-1900x2490 mm</t>
  </si>
  <si>
    <t>S-S06N dolní vodící profil 3m stříbrná</t>
  </si>
  <si>
    <t>S-S06N krycí profil (maska) 3m stříbrná</t>
  </si>
  <si>
    <t>Strong úchytová lišta 18mm 2,70m stříbrná</t>
  </si>
  <si>
    <t>Strong úchytová lišta 18mm 2,70m oliva</t>
  </si>
  <si>
    <t>Strong úchytová lišta 18mm 2,70m černá mat</t>
  </si>
  <si>
    <t>SEVROLL Alfa II úchytová lišta 100mm oliva new (vzorek)</t>
  </si>
  <si>
    <t>DI horní jednokolej 5m oliva</t>
  </si>
  <si>
    <t>PROFIL S08 STŘÍBRNÝ 2,7 M</t>
  </si>
  <si>
    <t>S-S03 vodící profil alu elox 2,5m</t>
  </si>
  <si>
    <t>S-profil S30 dvojitý elox 4,5m</t>
  </si>
  <si>
    <t>S-kartáč protiprachový vysoký 6,7x12mm šedý</t>
  </si>
  <si>
    <t>S-Softclose S60/S60N (Slidix T60) tlumič</t>
  </si>
  <si>
    <t>Sevroll Gemini horní vedení 2,35m RAL8017 lesk</t>
  </si>
  <si>
    <t>SEVROLL Victoria II 18mm 2,7m RAL8017 lesk</t>
  </si>
  <si>
    <t>Sevroll spojovací lišta H18 3m RAL8017 lesk</t>
  </si>
  <si>
    <t>Sevroll Gemini horní vedení 3m RAL9016 lesk</t>
  </si>
  <si>
    <t>SEVROLL Alfa II úchytová lišta 18mm RAL9016 lesk</t>
  </si>
  <si>
    <t>Sevroll spojovací lišta H18 3m RAL9016 lesk</t>
  </si>
  <si>
    <t>SEVROLL Gemini horní vedení 4,05m RAL7015 mat</t>
  </si>
  <si>
    <t>Strong horní vedení 2m stříbrná</t>
  </si>
  <si>
    <t>Strong horní vedení 2m oliva</t>
  </si>
  <si>
    <t>Strong horní vedení 2m černá mat</t>
  </si>
  <si>
    <t>Strong horní vedení 3m oliva</t>
  </si>
  <si>
    <t>Strong horní vedení 3m stříbrná</t>
  </si>
  <si>
    <t>Strong horní vedení 3m černá mat</t>
  </si>
  <si>
    <t>Strong horní vedení 4m stříbrná</t>
  </si>
  <si>
    <t>Strong horní vedení 4m oliva</t>
  </si>
  <si>
    <t>Strong horní vedení 4m  černá mat</t>
  </si>
  <si>
    <t>Strong horní vedení 6m černá mat</t>
  </si>
  <si>
    <t>Strong horní vedení 6m oliva</t>
  </si>
  <si>
    <t>Strong horní vedení 6m stříbrná</t>
  </si>
  <si>
    <t>Strong spodní vedení  2m stříbrná</t>
  </si>
  <si>
    <t>Strong spodní vedení  2m oliva</t>
  </si>
  <si>
    <t>Strong spodní vedení  2m černá mat</t>
  </si>
  <si>
    <t>Strong spodní vedení  3m oliva</t>
  </si>
  <si>
    <t>Strong spodní vedení  3m stříbrná</t>
  </si>
  <si>
    <t>Strong spodní vedení  3m černá mat</t>
  </si>
  <si>
    <t>Strong spodní vedení  4m stříbrná</t>
  </si>
  <si>
    <t>Strong spodní vedení  4m oliva</t>
  </si>
  <si>
    <t>Strong spodní vedení  4m  černá mat</t>
  </si>
  <si>
    <t>Strong spodní vedení  6m černá mat</t>
  </si>
  <si>
    <t>Strong spodní vedení  6m oliva</t>
  </si>
  <si>
    <t>Strong spodní vedení  6m stříbrná</t>
  </si>
  <si>
    <t>Strong horní vodící lišta  3m (pro lamino 18mm) stříbrná</t>
  </si>
  <si>
    <t>Strong horní vodící lišta  3m (pro lamino 10mm) stříbrná</t>
  </si>
  <si>
    <t>Strong horní vodící lišta  3m (pro lamino 18mm) oliva</t>
  </si>
  <si>
    <t>Strong horní vodící lišta  3m (pro lamino 10mm) oliva</t>
  </si>
  <si>
    <t>Strong horní vodící lišta  3m (pro lamino 18mm) černá mat</t>
  </si>
  <si>
    <t>Strong horní vodící lišta  3m (pro lamino 10mm) černá mat</t>
  </si>
  <si>
    <t>Strong horní vodící lišta  2m (pro lamino 18mm) stříbrná</t>
  </si>
  <si>
    <t>Strong horní vodící lišta  2m (pro lamino 10mm) stříbrná</t>
  </si>
  <si>
    <t>Strong horní vodící lišta  2m (pro lamino 18mm) oliva</t>
  </si>
  <si>
    <t>Strong horní vodící lišta  2m (pro lamino 10mm) oliva</t>
  </si>
  <si>
    <t>Strong horní vodící lišta  2m (pro lamino 18mm) černá mat</t>
  </si>
  <si>
    <t>Strong horní vodící lišta  2m (pro lamino 10mm) černá mat</t>
  </si>
  <si>
    <t>Strong spodní krycí lišta  3m (pro lamino 18mm) stříbrná</t>
  </si>
  <si>
    <t>Strong spodní krycí lišta  3m (pro lamino 10mm) stříbrná</t>
  </si>
  <si>
    <t>Strong spodní krycí lišta  3m (pro lamino 18mm) oliva</t>
  </si>
  <si>
    <t>Strong spodní krycí lišta  3m (pro lamino 10mm) oliva</t>
  </si>
  <si>
    <t>Strong spodní krycí lišta  3m (pro lamino 18mm) černá mat</t>
  </si>
  <si>
    <t>Strong spodní krycí lišta  3m (pro lamino 10mm) černá mat</t>
  </si>
  <si>
    <t>Strong spodní krycí lišta  2m (pro lamino 18mm) stříbrná</t>
  </si>
  <si>
    <t>Strong spodní krycí lišta  2m (pro lamino 10mm) stříbrná</t>
  </si>
  <si>
    <t>Strong spodní krycí lišta  2m (pro lamino 18mm) oliva</t>
  </si>
  <si>
    <t>Strong spodní krycí lišta  2m (pro lamino 10mm) oliva</t>
  </si>
  <si>
    <t>Strong spodní krycí lišta  2m (pro lamino 18mm) černá mat</t>
  </si>
  <si>
    <t>Strong spodní krycí lišta  2m (pro lamino 10mm) černá mat</t>
  </si>
  <si>
    <t>Strong spojovací lišta  H28 3m (pro lamino 18mm) oliva</t>
  </si>
  <si>
    <t>Strong spojovací lišta  H21 3m (pro lamino 18mm) oliva</t>
  </si>
  <si>
    <t>Strong spojovací lišta  H28 3m (pro lamino 18mm) stříbrná</t>
  </si>
  <si>
    <t>Strong spojovací lišta  H21 3m (pro lamino 18mm) stříbrná</t>
  </si>
  <si>
    <t>Strong spojovací lišta  H21 3m (pro lamino 18mm) černá mat</t>
  </si>
  <si>
    <t>Strong spojovací lišta  H28 3m (pro lamino 18mm) černá mat</t>
  </si>
  <si>
    <t>Strong úchytová lišta 10mm 2,70m stříbrná</t>
  </si>
  <si>
    <t>Strong úchytová lišta 10mm 2,70m oliva</t>
  </si>
  <si>
    <t>Strong úchytová lišta 10mm 2,70m černá mat</t>
  </si>
  <si>
    <t>Strong úhelník 17x11mm 3m stříbrná</t>
  </si>
  <si>
    <t>Strong úhelník 17x11mm 3m oliva</t>
  </si>
  <si>
    <t>Strong úhelník 17x11mm 3m černá mat</t>
  </si>
  <si>
    <t>Sevroll zakázka Interia Znojmo RAL 9003 lesk</t>
  </si>
  <si>
    <t>S-S06-dolní vodící profil 2m alu</t>
  </si>
  <si>
    <t>S-S06 dolní vodící profil 3,5m stříbrný</t>
  </si>
  <si>
    <t>SEVROLL 01257  ZR10 sada pro rozevírací dveře</t>
  </si>
  <si>
    <t>S-S05 horní vodící profil 2m stříbrný</t>
  </si>
  <si>
    <t>S-S05 horní vodící profil 2,5m stříbrný</t>
  </si>
  <si>
    <t>S-S05 horní vodící profil 3m stříbrný</t>
  </si>
  <si>
    <t>S-S06N dolní vodící profil 2m stříbrný</t>
  </si>
  <si>
    <t>S-S06 dolní vodící profil 2,5m stříbrný</t>
  </si>
  <si>
    <t>S-S06 dolní vodící profil alu 4m</t>
  </si>
  <si>
    <t>S-S10 úchytový profil + krycí profil alu 2,7m</t>
  </si>
  <si>
    <t>S-S65 horní a střední profil 4/18mm 2m stříbrný</t>
  </si>
  <si>
    <t>S-S65 horní a střední profil 4/18mm 3m stříbrný</t>
  </si>
  <si>
    <t>S-S65 dolní profil 4/18mm 2m stříbrný</t>
  </si>
  <si>
    <t>S-S65 dolní profil 4/18mm 3m stříbrný</t>
  </si>
  <si>
    <t>S-sada kování S60</t>
  </si>
  <si>
    <t>S-S06N krycí profil alu 2,5m</t>
  </si>
  <si>
    <t>S-S65 dolní profil 4/18mm 3,5m stříbrný</t>
  </si>
  <si>
    <t>S-S06NN dolní vodící profil alu 3,5m</t>
  </si>
  <si>
    <t>S-S65 horní a střední profil 3,5m stříbrný</t>
  </si>
  <si>
    <t>S-S65-dolní profil 4/18mm 3,5m stříbrný</t>
  </si>
  <si>
    <t>MSE-dorazový kartáč samolepící 6,7x13mm šedý</t>
  </si>
  <si>
    <t>MSE-Universal 16 úchytová lišta 2,7m oliva</t>
  </si>
  <si>
    <t>SEVROLL Gemini horní vedení 2,35m RAL9001 mat</t>
  </si>
  <si>
    <t>SEVROLL Alfa II lišta 18mm 2,70m RAL9001 mat</t>
  </si>
  <si>
    <t>Domino sada 2 křídla max. 21mm 50kg</t>
  </si>
  <si>
    <t>Domino sada 2 křídla max. 28mm 50kg</t>
  </si>
  <si>
    <t>Domino sada 3 křídla max. 21mm 50kg</t>
  </si>
  <si>
    <t>Domino sada 3 křídla max. 28mm 50kg</t>
  </si>
  <si>
    <t>Domino sada 2 tlumičů 40 Nm</t>
  </si>
  <si>
    <t>Domino sada 2 tlumičů 60 Nm</t>
  </si>
  <si>
    <t>Domino středový tlumič oboustranný</t>
  </si>
  <si>
    <t>Domino horní vedení alu elox 3m</t>
  </si>
  <si>
    <t>Domino spodní vedení alu elox 3m</t>
  </si>
  <si>
    <t>K-AST-Diuna-sada pro 2 dv. kart.oliv.tm</t>
  </si>
  <si>
    <t>K-AST-Diuna-sada pro 2 dv. kart.černá</t>
  </si>
  <si>
    <t>K-AST-Diuna-sada pro 3 dv. kart.oliv.tm</t>
  </si>
  <si>
    <t>IC-lišta Standard 10mm wenge 2,75m</t>
  </si>
  <si>
    <t>IC-horní vedení WE 10mm wenge 2m</t>
  </si>
  <si>
    <t>IC-spodní vedení wenge 2m</t>
  </si>
  <si>
    <t>IC-10mm vodorovná lišta wenge 2,4m</t>
  </si>
  <si>
    <t>IC-krycí lišta 14mm 3,6m anodovaný šampáň</t>
  </si>
  <si>
    <t>IC-dělící profil WE wenge 2,75m</t>
  </si>
  <si>
    <t>DVEŘE ZAK.č.1322-tlum.DIV099231A 2xL+2xP</t>
  </si>
  <si>
    <t>K-EKU Frontino 40 H FS typ S 1200-1799mm sada kování + vedení</t>
  </si>
  <si>
    <t>K-EKU Frontino 40 H FS typ M 1800-2199mm sada kování + vedení</t>
  </si>
  <si>
    <t>K-EKU Frontino 40 H FS typ L 2200-2400mm sada kování + vedení</t>
  </si>
  <si>
    <t>S-S20/30 alu lišta dvojitá 6m elox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</si>
  <si>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</si>
  <si>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</si>
  <si>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</si>
  <si>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</si>
  <si>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</si>
  <si>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</si>
  <si>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</si>
  <si>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zakázka Marcela RAL 9016 lesk</t>
  </si>
  <si>
    <t>IC-úchytová lišta Standard 2,75m 4mm arktik stříbrný</t>
  </si>
  <si>
    <t>IC-sada vozíků Standard/Classic 1 křídlo</t>
  </si>
  <si>
    <t>IC-Zakázka 13000002 - 1815x2505</t>
  </si>
  <si>
    <t>S-S05 horní vodící profil 1,5m stříbrný</t>
  </si>
  <si>
    <t>S-S06NN spodní profil 1,5m elox stříbrný</t>
  </si>
  <si>
    <t>S-S06N krycí profil (maska) 1,5m stříbrný</t>
  </si>
  <si>
    <t>S-S65 horní a střední profil 2,5m stříbrný</t>
  </si>
  <si>
    <t>S-S65 dolní profil 4/18mm 2,5m stříbrný</t>
  </si>
  <si>
    <t>ICSK-zakázka Bartik</t>
  </si>
  <si>
    <t>S-alu profil S30 dvojitý surový 3m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</si>
  <si>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</si>
  <si>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</si>
  <si>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</si>
  <si>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</si>
  <si>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</si>
  <si>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</si>
  <si>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Držák lišty 1390 (40kg)</t>
  </si>
  <si>
    <t>STRONG posuvné kování 1030 2 dveře</t>
  </si>
  <si>
    <t>STRONG posuvné kování 1030 3 dveře</t>
  </si>
  <si>
    <t>IC-4mm lišta svislá široká (Classic) bílá 2,75m</t>
  </si>
  <si>
    <t>IC-10mm lišta svislá široká (Classic) bílá 2,75m</t>
  </si>
  <si>
    <t>IC-kolejnička horní bílá 3m</t>
  </si>
  <si>
    <t>IC-kolejnička spodní bílá 3m</t>
  </si>
  <si>
    <t>IC-4mm lišta vodící bílá 2,4m</t>
  </si>
  <si>
    <t>IC-úchytová lišta Rome 10mm alu EU šampáň 5,3m</t>
  </si>
  <si>
    <t>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</si>
  <si>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</si>
  <si>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</si>
  <si>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</si>
  <si>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</si>
  <si>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</si>
  <si>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</si>
  <si>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</si>
  <si>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</si>
  <si>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</si>
  <si>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</si>
  <si>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</si>
  <si>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Tytan fogantyú profil 2,7m RAL1036 fényes</t>
  </si>
  <si>
    <t>SEVROLL Gemini felső vezetés 2,35m RAL1036 fényes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</si>
  <si>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</si>
  <si>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</si>
  <si>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</si>
  <si>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</si>
  <si>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</si>
  <si>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</si>
  <si>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</si>
  <si>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</si>
  <si>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</si>
  <si>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</si>
  <si>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</si>
  <si>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</si>
  <si>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</si>
  <si>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</si>
  <si>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05296 szögletvas 17x11mm 1,7m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</si>
  <si>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</si>
  <si>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</si>
  <si>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</si>
  <si>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</si>
  <si>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</si>
  <si>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</si>
  <si>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</si>
  <si>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SEVROLL Maxim felső vezetés 3,5m RAL9003 fényes</t>
  </si>
  <si>
    <t>SEVROLL Maxim II alsó vezetés 2,5m RAL9003 fényes</t>
  </si>
  <si>
    <t>SEVROLL Maxim II takaró profil 2,5m RAL9003 fényes</t>
  </si>
  <si>
    <t>SEVROLL Maxim vezető profil 3,5m RAL9003 fényes</t>
  </si>
  <si>
    <t>SEVROLL Maxim vezető profil 2,5m RAL9003 fényes</t>
  </si>
  <si>
    <t>SEVROLL Maxim alsó takaró profil 2,5m RAL9003 fényes</t>
  </si>
  <si>
    <t>SEVROLL mintao HU-Victoria fehér</t>
  </si>
  <si>
    <t>SEVROLL Gemini fogantyú profil 2,7m RAL9003 fényes</t>
  </si>
  <si>
    <t>K- Akciós szett 20x fog.profil Rekord ezüst + 10x alsó és felső görgő szett</t>
  </si>
  <si>
    <t>Sevroll Gemini felső vezetés 1,7m RAL8028 fé</t>
  </si>
  <si>
    <t>Sevroll Fox II fogantyú profile 2,7m RAL8028</t>
  </si>
  <si>
    <t>Sevroll felső vezető profile 1,7m RAL8028 fén</t>
  </si>
  <si>
    <t>Sevroll alsó vezető profile 1,7m RAL8028 fény</t>
  </si>
  <si>
    <t>Sevroll összekötő profile H30 3m RAL8028 fény</t>
  </si>
  <si>
    <t>SEVROLL Alfa II fogantyú profile 18mm RAL90016 mattt</t>
  </si>
  <si>
    <t>SEVROLL Gemini felső vezetés 4,05m RAL9016 mattt</t>
  </si>
  <si>
    <t>SEVROLL Elegant II alsó vezetés 4,05m RAL9016 mattt</t>
  </si>
  <si>
    <t>SEVROLL takaró profile Elegant II 4,05m RAL9016 mattt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</si>
  <si>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</si>
  <si>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</si>
  <si>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</si>
  <si>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</si>
  <si>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</si>
  <si>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</si>
  <si>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</si>
  <si>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</si>
  <si>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szabad kártya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</si>
  <si>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</si>
  <si>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</si>
  <si>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</si>
  <si>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</si>
  <si>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</si>
  <si>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</si>
  <si>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</si>
  <si>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</si>
  <si>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</si>
  <si>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</si>
  <si>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</si>
  <si>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</si>
  <si>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</si>
  <si>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</si>
  <si>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</si>
  <si>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</si>
  <si>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Gemini felső vezetés 3m RAL9005 fényes</t>
  </si>
  <si>
    <t>SEVROLL Gemini felső vezetés 1,7m RAL9005 fényes</t>
  </si>
  <si>
    <t>SEVROLL összekötő profil T Decor 3m RAL9003 fényes</t>
  </si>
  <si>
    <t>SEVROLL szögletvas K2 Decor 3m RAL9003 fényes</t>
  </si>
  <si>
    <t>SEVROLL Gemini felső vezetés 4,05m RAL7016 matt</t>
  </si>
  <si>
    <t>SEVROLL Alfa II fogantyú profil 18mm RAL2013 matt</t>
  </si>
  <si>
    <t>SEVROLL Tytan fogantyú profil 2,7m RAL9003 fényes</t>
  </si>
  <si>
    <t>SEVROLL összek.prof.Simple/Blue H25 3m(16mm)</t>
  </si>
  <si>
    <t>Sevroll Gemini felső sín 1,7m RAL8017 fényes</t>
  </si>
  <si>
    <t>SEVROLL Alfa II profil 18mm 2,7m RAL9005 fényes</t>
  </si>
  <si>
    <t>SEVROLL Gemini felső vezetés 4,05m RAL9005 fényes</t>
  </si>
  <si>
    <t>SEVROLL Gemini fogantyú profil 2,7m matt feket</t>
  </si>
  <si>
    <t>SEVROLL Gemini felső vezetés 2,35m RAL9005 matt</t>
  </si>
  <si>
    <t>SEVROLL felső vezető profil 2,35m RAL9005 matt</t>
  </si>
  <si>
    <t>SEVROLL alsó takaró profil 2,35m RAL9005 matt</t>
  </si>
  <si>
    <t>SEVROLL Alfa II profil 18mm 2,7m RAL7016 fényes</t>
  </si>
  <si>
    <t>SEVROLL Gemini felső vezetés 3m RAL7016 fényes</t>
  </si>
  <si>
    <t>SEVROLL Elegant II alsó vezetés 3m RAL7016 fényes</t>
  </si>
  <si>
    <t>SEVROLL takaró profil Elegant II 3m RAL7016 fényes</t>
  </si>
  <si>
    <t>SEVROLL Elegant II alsó vezetés 2,35m RAL7016 fényes</t>
  </si>
  <si>
    <t>SEVROLL takaró profil Elegant II 2,35m RAL 7039 fényes</t>
  </si>
  <si>
    <t>SEVROLL összekötő profil "T" 3m RAL7016 fényes</t>
  </si>
  <si>
    <t>SEVROLL Gemini felső vezetés 2,35m RAL7016 fényes</t>
  </si>
  <si>
    <t>Sevroll megrend. Arbyd vágás</t>
  </si>
  <si>
    <t>SEVROLL Gemini felső sín 2,35m RAL9016 matt</t>
  </si>
  <si>
    <t>SEVROLL Elegant II alsó sín 2,35m RAL9016 matt</t>
  </si>
  <si>
    <t>SEVROLL takaró profil Elegant II 2,35m RAL 9016 matt</t>
  </si>
  <si>
    <t>SEVROLL Kék felső vezető 2 m RAL 9003 fényes</t>
  </si>
  <si>
    <t>SEVROLL Rekord fogantyú profil 18mm 2,70m RAL9003 fényes</t>
  </si>
  <si>
    <t>SEVROLL Blue-V alsó vezető 2m RAL 9003 fényes</t>
  </si>
  <si>
    <t>SEVROLL felső vezetősín Simple/Blue 2m (18 mm-es laminátumhoz) RAL9003 fényes</t>
  </si>
  <si>
    <t>SEVROLL alsó takaró profil Simple/Blue 2m (18 mm-es laminátumhoz) RAL9003 fényes</t>
  </si>
  <si>
    <t>Sevroll dísz léc S20 3m RAL9003 fényes</t>
  </si>
  <si>
    <t>SEVROLL megrendelés Dobalex</t>
  </si>
  <si>
    <t>SEVROLL reklám ajtóminta Blue 10 (8 db)</t>
  </si>
  <si>
    <t>SEVROLL Gemini felső vezetés 4,05m RAL9003 mattt</t>
  </si>
  <si>
    <t>SEVROLL alsó takaró profile 1,7m RAL9003 mattt</t>
  </si>
  <si>
    <t>SEVROLL felső vezető profile 1,7m RAL9003 mattt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</si>
  <si>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</si>
  <si>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</si>
  <si>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</si>
  <si>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</si>
  <si>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</si>
  <si>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05136 szögletvas 17x11mm 1,7m matt fehér</t>
  </si>
  <si>
    <t>SEVROLL05137  szögletvas 17x11mm 2,35m matt fehér</t>
  </si>
  <si>
    <t>SEVROLL takaró profil Elegant II 6m matt fehér</t>
  </si>
  <si>
    <t>SEVROLL 05163 takaró profil Elegant II 1,7m matt fehér</t>
  </si>
  <si>
    <t>SEVROLL szögletvas K2 Decor 1,7m RAL9005 matt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</si>
  <si>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</si>
  <si>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</si>
  <si>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</si>
  <si>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</si>
  <si>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</si>
  <si>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</si>
  <si>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</si>
  <si>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</si>
  <si>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</si>
  <si>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</si>
  <si>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</si>
  <si>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</si>
  <si>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</si>
  <si>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Faworyt II fogantyú profil 2,7m RAL9005 matt</t>
  </si>
  <si>
    <t>SEVROLL dísz profil S20 3m RAL9005 matt</t>
  </si>
  <si>
    <t>SEVROLL Romeo II fogantyú profil 2,7m RAL9003 fényes</t>
  </si>
  <si>
    <t>SEVROLL szett Fold 2 ajtószárnyra balos</t>
  </si>
  <si>
    <t>SEVROLL szett Fold 2 ajtószárnyra jobbos</t>
  </si>
  <si>
    <t>SEVROLL Julia II fogantyú profil 2,7m RAL9003 matt</t>
  </si>
  <si>
    <t>SEVROLL Single felső sín 3,6m RAL9003 mattt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</si>
  <si>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</si>
  <si>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</si>
  <si>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</si>
  <si>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</si>
  <si>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</si>
  <si>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</si>
  <si>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</si>
  <si>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</si>
  <si>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</si>
  <si>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</si>
  <si>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</si>
  <si>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</si>
  <si>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</si>
  <si>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</si>
  <si>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</si>
  <si>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</si>
  <si>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szögletvas 17x11mm 4,05m ezüst</t>
  </si>
  <si>
    <t>SEVROLL 10224  Micra V vasalat szett 1 ajtószárnyra</t>
  </si>
  <si>
    <t>SEVROLL Tytan fogantyú profil 2,7m RAL9004 matt</t>
  </si>
  <si>
    <t>SEVROLL Gemini felső vezetés 1,7m RAL9004 matt</t>
  </si>
  <si>
    <t>SEVROLL Elegant II alsó vezetés 1,7m ezüst</t>
  </si>
  <si>
    <t>SEVROLL takaró profil Elegant II 1,7m ezüst</t>
  </si>
  <si>
    <t>SEVROLL EMIKON MEBEL expozíció</t>
  </si>
  <si>
    <t>SEVROLL reklám sablon görgőkhöz 18 mm-es RL-hez</t>
  </si>
  <si>
    <t>SEVROLL felső vezető profil Simple/Blue 3m (18 mm-es rétegeltlemez) ezüst</t>
  </si>
  <si>
    <t>SEVROLL alsó takaró profil Simple/Blue 3m (18 mm-es rétegeltlemez) ezüst</t>
  </si>
  <si>
    <t>SEVROLL 05319 takaró profil Elegant II 3m matt fekete</t>
  </si>
  <si>
    <t>SEVROLL Gemini fogantyú profil 2,7m RAL9003 matt</t>
  </si>
  <si>
    <t>SEVROLL Gemini felső vezetés 2,35m RAL9003 matt</t>
  </si>
  <si>
    <t>SEVROLL felső vezető profil 2,35m RAL9003 matt</t>
  </si>
  <si>
    <t>SEVROLL alsó takaró profil 2,35m RAL9003 matt</t>
  </si>
  <si>
    <t>SEVROLL összekötő profil H10 3m RAL9003 matt</t>
  </si>
  <si>
    <t>SEVROLL összekötő profil H08/18 3m RAL9003 fényes</t>
  </si>
  <si>
    <t>SEVROLL System 10 II profil 2,7m RAL9003 fényes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</si>
  <si>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</si>
  <si>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</si>
  <si>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</si>
  <si>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</si>
  <si>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</si>
  <si>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</si>
  <si>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</si>
  <si>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</si>
  <si>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</si>
  <si>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</si>
  <si>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</si>
  <si>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</si>
  <si>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</si>
  <si>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</si>
  <si>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</si>
  <si>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</si>
  <si>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</si>
  <si>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</si>
  <si>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</si>
  <si>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</si>
  <si>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</si>
  <si>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</si>
  <si>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</si>
  <si>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</si>
  <si>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</si>
  <si>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</si>
  <si>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</si>
  <si>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</si>
  <si>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00095-A szögletvas 17x11mm 3m 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</si>
  <si>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</si>
  <si>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</si>
  <si>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</si>
  <si>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</si>
  <si>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minták Ma-Bu Kft</t>
  </si>
  <si>
    <t>SEVROLL minták Szaki-Barkács Kft.</t>
  </si>
  <si>
    <t>SEVROLL minták Vass-Contakt Bt.</t>
  </si>
  <si>
    <t>SEVROLL minták BO-for-FA</t>
  </si>
  <si>
    <t>SEVROLL tartó elem felső vezetéshez HPL-re 16 - 25mm</t>
  </si>
  <si>
    <t>Takaró léc  Sevroll  Herkules II 1,8m ezüst</t>
  </si>
  <si>
    <t>SEVROLL Prosper II fogantyú profil 2,8m oliva</t>
  </si>
  <si>
    <t>Sevroll Single felső sín 3m RAL9003 fényes</t>
  </si>
  <si>
    <t>Sevroll Single felső sín 1,7m RAL9003 fényes</t>
  </si>
  <si>
    <t>Sevroll végzáró Hide N profilehoz RAL9003 fén</t>
  </si>
  <si>
    <t>SEVROLL "U" profil rétegelt lemezhez 18mm 3m RAL9003 matt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</si>
  <si>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</si>
  <si>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</si>
  <si>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</si>
  <si>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</si>
  <si>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</si>
  <si>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</si>
  <si>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</si>
  <si>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05297 szögletvas 17x11mm 2,35m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</si>
  <si>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</si>
  <si>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</si>
  <si>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</si>
  <si>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Összekötő szöglet vas SEVROLL 17x11mm 1,7m RAL9005 matt</t>
  </si>
  <si>
    <t>SEVROLL takaró profil Elegant II 3m RAL7016 matt</t>
  </si>
  <si>
    <t>SEVROLL Elegant II alsó vezetés 3m RAL7016 matt</t>
  </si>
  <si>
    <t>SEVROLL Gemini felső vezetés 3m RAL7016 matt</t>
  </si>
  <si>
    <t>SEVROLL Alfa II fogantyú profil 18mm RAL7016 matt</t>
  </si>
  <si>
    <t>SEVROLL ZR-18 Unicomfort szett szétnyíló ajtóhoz</t>
  </si>
  <si>
    <t>Sevroll megr. Kupka RAL 8016 fé.</t>
  </si>
  <si>
    <t>SEVROLL Comfort felső vezetés 4,05m RAL9005 fényes</t>
  </si>
  <si>
    <t>SEVROLL Doubler II alsó vezetés 4,05m RAL9005 fényes</t>
  </si>
  <si>
    <t>SEVROLL Doubler II takaró profil 4,05m RAL9005 fényes</t>
  </si>
  <si>
    <t>SEVROLL Future II fogantyú profil 2,7m RAL9005 fényes</t>
  </si>
  <si>
    <t>SEVROLL felső vezető profil 2,35m RAL9005 fényes</t>
  </si>
  <si>
    <t>SEVROLL alsó takaró profil 2,35m RAL9005 fényes</t>
  </si>
  <si>
    <t>SEVROLL összekötő profil H30 3m RAL9005 fényes</t>
  </si>
  <si>
    <t>SEVROLL Blue felső vezetés 4m ezüst</t>
  </si>
  <si>
    <t>SEVROLL Blue-V alsó vezetés 4m ezüst</t>
  </si>
  <si>
    <t>SEVROLL szett Herkules plus 25kg HP2/25 1,2m</t>
  </si>
  <si>
    <t>K- Akciós szett 20x fog.profil Era ezüst + 10x alsó és felső görgő szett</t>
  </si>
  <si>
    <t>SEVROLL kék felső vezető 3m RAL 9003 fényes</t>
  </si>
  <si>
    <t>SEVROLL Blue-V alsó vezető 3m RAL 9003 fényes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</si>
  <si>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</si>
  <si>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</si>
  <si>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</si>
  <si>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</si>
  <si>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</si>
  <si>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SEVROLL dekorációs szalag S10 3m RAL9005 matt</t>
  </si>
  <si>
    <t>SEVROLL takaró profil Elegant II 3m RAL9005 matt</t>
  </si>
  <si>
    <t>K-SEVROLL minták Fogantyúk 2021 - kiegészítő készlet 180245</t>
  </si>
  <si>
    <t>SEVROLL alsó takaró profil Simple/Blue 2m (18 mm) oliva new</t>
  </si>
  <si>
    <t>SEVROLL megrend.Škandera RAL 1015 mattt</t>
  </si>
  <si>
    <t>Sevroll megr.Hanus RAL 9023 fényes</t>
  </si>
  <si>
    <t>Sevroll Prosper fog.profile 2,7m RAL9003 fé.</t>
  </si>
  <si>
    <t>Sevroll Maxim felső vezetés 1,8m RAL9003 fé.</t>
  </si>
  <si>
    <t>Sevroll Maxim II al.vezetés 1,8m RAL9003 fén</t>
  </si>
  <si>
    <t>Sevroll Maxim II tak.prof. 1,8m RAL9003 fé.</t>
  </si>
  <si>
    <t>Sevroll Maxim vez.prof.1,8m RAL9003 fény.</t>
  </si>
  <si>
    <t>Sevroll Maxim alsó takaró prof.1,8m RAL9003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</si>
  <si>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</si>
  <si>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</si>
  <si>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</si>
  <si>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</si>
  <si>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Optima II vasalat szett belső ajtóra</t>
  </si>
  <si>
    <t>SEVROLL10212  görgő belső ajtóhoz Simple 18 Inter/Galaxy 35/50kg</t>
  </si>
  <si>
    <t>SEVROLL 04999 csillapító Simple beltéri ajtókhoz 18 Galaxy 50kg</t>
  </si>
  <si>
    <t>K-SEVROLL vasalat szett a belső ajtókhoz Simple  ZPI-18 50kg 2xfék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</si>
  <si>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</si>
  <si>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</si>
  <si>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</si>
  <si>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Karat fogantyú profil 2,7m RAL7016 matt</t>
  </si>
  <si>
    <t>SEVROLL Gemini felső vezetés 2,35m RAL7016 matt</t>
  </si>
  <si>
    <t>SEVROLL felső vezető profil 3m RAL7016 matt</t>
  </si>
  <si>
    <t>SEVROLL felső vezető profil 2,35m RAL7016 matt</t>
  </si>
  <si>
    <t>SEVROLL alsó takaró profil 3m RAL7016 matt</t>
  </si>
  <si>
    <t>SEVROLL alsó takaró profil 2,35m RAL7016 matt</t>
  </si>
  <si>
    <t>SEVROLL összekötő profil H10 Decor 3m RAL7016 matt</t>
  </si>
  <si>
    <t>SEVROLL végzáró Hide N profilehoz RAL9003 matt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</si>
  <si>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</si>
  <si>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</si>
  <si>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</si>
  <si>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</si>
  <si>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Ergo fogantyú profil 2,7m RAL7039 matt</t>
  </si>
  <si>
    <t>SEVROLL takaró profil Elegáns II 2,35m RAL 7039 matt</t>
  </si>
  <si>
    <t>SEVROLL Gemini felső sín 2,35m RAL7039 matt</t>
  </si>
  <si>
    <t>SEVROLL Elegant II alsó sín 2,35m RAL7039 matt</t>
  </si>
  <si>
    <t>SEVROLL sarokvas 17x11mm, 2,35m RAL7039 matt</t>
  </si>
  <si>
    <t>SEVROLL Era fogantyú profil 18mm 2,70m oliva new</t>
  </si>
  <si>
    <t>SEVROLL Blue felső vezetés 6m oliva new</t>
  </si>
  <si>
    <t>SEVROLL Blue-V alsó vezetés 6m oliva new</t>
  </si>
  <si>
    <t>SEVROLL felső vezető profil Simple/Blue 3m (18 mm) oliva new</t>
  </si>
  <si>
    <t>SEVROLL alsó takaró profil Simple/Blue 3m (18 mm) oliva new</t>
  </si>
  <si>
    <t>SEVROLL felső sín tartó laminóhoz 25 - 45mm</t>
  </si>
  <si>
    <t>SEVROLL csilla.közp.Simple 18 25kg</t>
  </si>
  <si>
    <t>SEVROLL csilla.közp.Simple 18 40kg</t>
  </si>
  <si>
    <t>SEVROLL "U" profil rétegelt lemezhez 18mm 3m fényes fekete</t>
  </si>
  <si>
    <t>SEVROLL 05138 szögletvas 17x11mm 1,7m fényes fekete</t>
  </si>
  <si>
    <t>SEVROLL 05139 szögletvas 17x11mm 2,35m fényes fekete</t>
  </si>
  <si>
    <t>SEVROLL05140  szögletvas 17x11mm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</si>
  <si>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</si>
  <si>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</si>
  <si>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</si>
  <si>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</si>
  <si>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</si>
  <si>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</si>
  <si>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</si>
  <si>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</si>
  <si>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</si>
  <si>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</si>
  <si>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</si>
  <si>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</si>
  <si>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</si>
  <si>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</si>
  <si>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</si>
  <si>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</si>
  <si>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</si>
  <si>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</si>
  <si>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</si>
  <si>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üres kártya</t>
  </si>
  <si>
    <t>SEVROLL Karat fogantyú profile 2,7m RAL9005 mattt</t>
  </si>
  <si>
    <t>SEVROLL Single felső vezetés 6m oliva</t>
  </si>
  <si>
    <t>SEVROLL alsó görgő WD10 V Duo 60kg (2 db)</t>
  </si>
  <si>
    <t>SEVROLL Oaza II fogantyú profil 2,7m RAL9003 matt</t>
  </si>
  <si>
    <t>MSE-Faworyt II fog.prof.2,7m feh.matt</t>
  </si>
  <si>
    <t>MSE-Faworyt II fog.prof.2,7m feh.fény.</t>
  </si>
  <si>
    <t>SEVROLL Gemini felső vezetés 4,05m RAL9203 fényes</t>
  </si>
  <si>
    <t>SEVROLL Factor 18 II 2,7m RAL9203 fényes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</si>
  <si>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</si>
  <si>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</si>
  <si>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</si>
  <si>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</si>
  <si>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</si>
  <si>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</si>
  <si>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megrend.RAL 7016 matt</t>
  </si>
  <si>
    <t>SEVROLL kiárusítás</t>
  </si>
  <si>
    <t>SEVROLL Fox II fogantyú profil 2,7m RAL5000 matt</t>
  </si>
  <si>
    <t>SEVROLL Gemini felső vezetés 3m RAL5000 matt</t>
  </si>
  <si>
    <t>SEVROLL felső vezető profil 3m RAL5000 matt</t>
  </si>
  <si>
    <t>SEVROLL alsó takaró profil 3m RAL5000 matt</t>
  </si>
  <si>
    <t>SEVROLL Universal fogantyú profil 2,7m RAL9003 matt</t>
  </si>
  <si>
    <t>MSE-Julia II fog.profil 2,7m ezüst</t>
  </si>
  <si>
    <t>MSE-Factor 16 II-fog.profil ezüst 2,7m</t>
  </si>
  <si>
    <t>MSE-Faworyt II fog.profil 2,7m ezüst</t>
  </si>
  <si>
    <t>MSE-Optima 16 fog.profil 2,4m ezüst</t>
  </si>
  <si>
    <t>MSE-Optima alsó sín 2m natúr</t>
  </si>
  <si>
    <t>MSE-Optima alsó sín 2,4m natúr</t>
  </si>
  <si>
    <t>MSE-Optima felső sín 2m ezüst</t>
  </si>
  <si>
    <t>MSE-Optima felső sín 2,4m ezüst</t>
  </si>
  <si>
    <t>MSE-Optima vasalat szett (dupla ajtó)</t>
  </si>
  <si>
    <t>MSE-profil "U" DTD 16mm 3m ezüst</t>
  </si>
  <si>
    <t>MSE-Ergo 16 fog.profil 2,7m ezüst</t>
  </si>
  <si>
    <t>MSE-Fiesta 16 fog.profil 2,7m ezüst</t>
  </si>
  <si>
    <t>MSE-Universal 16 fog.profil 2,7m ezüst</t>
  </si>
  <si>
    <t>MSE-összekötő profil H30 3m ezüst</t>
  </si>
  <si>
    <t>MSE-összekötő profil H10 3m ezüst</t>
  </si>
  <si>
    <t>SEVROLL 03889Gemini felső vezetés 3m fehér matt</t>
  </si>
  <si>
    <t>SEVROLL Fox II fogantyú profil 2,7m RAL9003 matt</t>
  </si>
  <si>
    <t>SEVROLL felső vez.profile 3m RAL9003 mattt</t>
  </si>
  <si>
    <t>SEVROLL alsó tak.prof.3m RAL9003 mattt</t>
  </si>
  <si>
    <t>SEVROLL Maxim felső vezetés 2,5m RAL9003mattt</t>
  </si>
  <si>
    <t>SEVROLL Maxim II alsó veden.2,5m RAL9003mattt</t>
  </si>
  <si>
    <t>SEVROLL Maxim II 2,5m RAL9003 mattt</t>
  </si>
  <si>
    <t>SEVROLL Maxim vez.prof.2,5m RAL9003 mattt</t>
  </si>
  <si>
    <t>SEVROLL Maxim alsó tak.prof.2,5m RAL9003mattt</t>
  </si>
  <si>
    <t>SEVROLL Prosper fog.profile 2,7m RAL9003 mattt</t>
  </si>
  <si>
    <t>MSE-összekötő profil H16 3m ezüst</t>
  </si>
  <si>
    <t>MSE-összekötő profil H16 3m oliva</t>
  </si>
  <si>
    <t>MSE-összek.profil H08/16 3m ezüst</t>
  </si>
  <si>
    <t>MSE-összek.profil H08/16 3m oliva</t>
  </si>
  <si>
    <t>SEVROLL megr. Hančák RAL 7015 mattt</t>
  </si>
  <si>
    <t>SEVROLL minta Plachá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</si>
  <si>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</si>
  <si>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</si>
  <si>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</si>
  <si>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</si>
  <si>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</si>
  <si>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</si>
  <si>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</si>
  <si>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</si>
  <si>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</si>
  <si>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</si>
  <si>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</si>
  <si>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</si>
  <si>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</si>
  <si>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</si>
  <si>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</si>
  <si>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</si>
  <si>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</si>
  <si>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</si>
  <si>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</si>
  <si>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Sevroll megr.Albakmen RAL9003 fényes</t>
  </si>
  <si>
    <t>MSE-imbusz kulcs SEVROLL</t>
  </si>
  <si>
    <t>SEVROLL Simple sablon a görgőkhöz 18mm rétegeltlemezhez</t>
  </si>
  <si>
    <t>SEVROLL Fox II fogantyú profil 2,7m matt fekete</t>
  </si>
  <si>
    <t>SEVROLL Single felső vezetés 6m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</si>
  <si>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</si>
  <si>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</si>
  <si>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</si>
  <si>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</si>
  <si>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</si>
  <si>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</si>
  <si>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</si>
  <si>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</si>
  <si>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</si>
  <si>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</si>
  <si>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</si>
  <si>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</si>
  <si>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</si>
  <si>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</si>
  <si>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</si>
  <si>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</si>
  <si>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</si>
  <si>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</si>
  <si>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</si>
  <si>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</si>
  <si>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</si>
  <si>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</si>
  <si>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</si>
  <si>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</si>
  <si>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SEVROLL minták Kronomak</t>
  </si>
  <si>
    <t>V-SEVROLL dísz profil S10 3m ezüst</t>
  </si>
  <si>
    <t>V-SEVROLL dísz profil S20 3m ezüst</t>
  </si>
  <si>
    <t>SEVROLL ZR18 szett szétnyíló ajtóhoz</t>
  </si>
  <si>
    <t>SEVROLL Elegant alsó vezetés 1,7m RAL9003 matt</t>
  </si>
  <si>
    <t>SEVROLL Single felső vezetés 1,7m RAL9003 matt</t>
  </si>
  <si>
    <t>SEVROLL Smart alsó vezetés 1,7m RAL9003 matt</t>
  </si>
  <si>
    <t>SEVROLL Libra profil 18mm 2,70m RAL9003 matt</t>
  </si>
  <si>
    <t>SEVROLL szögletvas 17x11mm 3m RAL9010 matt</t>
  </si>
  <si>
    <t>SEVROLL szögletvas 17x11mm 2,35m RAL9003 matt</t>
  </si>
  <si>
    <t>SEVROLL Alfa II profil 18mm 2,70m RAL9010 matt</t>
  </si>
  <si>
    <t>SEVROLL Single felső vezetés 3m RAL9003 matt</t>
  </si>
  <si>
    <t>SEVROLL Smart alsó vezetés 3m RAL9003 matt</t>
  </si>
  <si>
    <t>SEVROLL vezető profil Simple/Blue 3m (18 mm-es rétegeltlemez) RAL9003 matt</t>
  </si>
  <si>
    <t>SEVROLL takaró profil Simple/Blue 3m (18 mm-es rétegeltlemez) RAL9003 matt</t>
  </si>
  <si>
    <t>SEVROLL Simple felső vezetés 3m RAL9003 matt</t>
  </si>
  <si>
    <t>SEVROLL Simple alsó vezetés 3m RAL9003 matt</t>
  </si>
  <si>
    <t>SEVROLL vasalat szett Mini csillapítóhoz</t>
  </si>
  <si>
    <t>SEVROLL minta Brnó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</si>
  <si>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</si>
  <si>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</si>
  <si>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</si>
  <si>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</si>
  <si>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</si>
  <si>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</si>
  <si>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</si>
  <si>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SEVROLL matrica Élettartam garancia nagy CZ</t>
  </si>
  <si>
    <t>SEVROLL matrica Élettartam garancia nagy SK</t>
  </si>
  <si>
    <t>SEVROLL matrica Élettartam garancia nagy HU</t>
  </si>
  <si>
    <t>SEVROLL matrica Élettartam garancia kicsi CZ</t>
  </si>
  <si>
    <t>SEVROLL matrica Élettartam garancia kicsi SK</t>
  </si>
  <si>
    <t>SEVROLL matrica Élettartam garancia kicsi HU</t>
  </si>
  <si>
    <t>MSE-alsó görgő  18mm-es FFL-hoz</t>
  </si>
  <si>
    <t>Fogantyú profil minta 2017 irattartó ÁRUSÍTÁS</t>
  </si>
  <si>
    <t>SEVROLL Tytan fogantyú profil 2,7m RAL7016 matt</t>
  </si>
  <si>
    <t>SEVROLL összekötő profil H08/18 3m RAL7016 matt</t>
  </si>
  <si>
    <t>SEVROLL 05298 szögletvas 17x11mm 3m matt fekete</t>
  </si>
  <si>
    <t>SEVROLL 05315 Gemini felső vezetés 3m matt fekete</t>
  </si>
  <si>
    <t>SEVROLL 05310 Elegant II alsó vezetés 3m matt fekete</t>
  </si>
  <si>
    <t>SEVROLL felső vezető profil Simple/Blue 1,5m (18 mm-es rétegeltlemez) ezüst</t>
  </si>
  <si>
    <t>SEVROLL 05305 Alfa II profil 18mm 2,7m  matt fekete</t>
  </si>
  <si>
    <t>SEVROLL szögletvas 17x11mm 3m RAL9005 matt</t>
  </si>
  <si>
    <t>SEVROLL Gemini felső vezetés 3m RAL9005 matt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</si>
  <si>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</si>
  <si>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</si>
  <si>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</si>
  <si>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</si>
  <si>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</si>
  <si>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</si>
  <si>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</si>
  <si>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</si>
  <si>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</si>
  <si>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</si>
  <si>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</si>
  <si>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</si>
  <si>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</si>
  <si>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Comfort felső vezetés 1,7m RAL9005 fényes</t>
  </si>
  <si>
    <t>SEVROLL Doubler II alsó vezetés 1,7m RAL9005 fényes</t>
  </si>
  <si>
    <t>SEVROLL Doubler II takaró profil 1,7m RAL9005 fényes</t>
  </si>
  <si>
    <t>SEVROLL Blue felső vezetés 1,5m RAL9003 fényes</t>
  </si>
  <si>
    <t>SEVROLL Blue-V alsó vezetés 1,5m RAL9003 fényes</t>
  </si>
  <si>
    <t>SEVROLL szögletvas K2 Decor 1,7m RAL9003 fényes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</si>
  <si>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</si>
  <si>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</si>
  <si>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</si>
  <si>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</si>
  <si>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</si>
  <si>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</si>
  <si>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</si>
  <si>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</si>
  <si>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</si>
  <si>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</si>
  <si>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</si>
  <si>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</si>
  <si>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</si>
  <si>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</si>
  <si>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00093-A szögletvas 17x11mm 1,7m oliva new</t>
  </si>
  <si>
    <t>SEVROLL  00094 -A szögletvas 17x11mm 2,35m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</si>
  <si>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</si>
  <si>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</si>
  <si>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</si>
  <si>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</si>
  <si>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</si>
  <si>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</si>
  <si>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</si>
  <si>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</si>
  <si>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</si>
  <si>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</si>
  <si>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</si>
  <si>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</si>
  <si>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</si>
  <si>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</si>
  <si>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</si>
  <si>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</si>
  <si>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</si>
  <si>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</si>
  <si>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</si>
  <si>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</si>
  <si>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</si>
  <si>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</si>
  <si>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</si>
  <si>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</si>
  <si>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</si>
  <si>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</si>
  <si>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</si>
  <si>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</si>
  <si>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</si>
  <si>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</si>
  <si>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</si>
  <si>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</si>
  <si>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</si>
  <si>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</si>
  <si>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</si>
  <si>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</si>
  <si>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</si>
  <si>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</si>
  <si>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</si>
  <si>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 04542-A  Victoria II fogantyú profil 18mm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</si>
  <si>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</si>
  <si>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</si>
  <si>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</si>
  <si>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</si>
  <si>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</si>
  <si>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</si>
  <si>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</si>
  <si>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</si>
  <si>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</si>
  <si>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</si>
  <si>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</si>
  <si>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</si>
  <si>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</si>
  <si>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</si>
  <si>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</si>
  <si>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</si>
  <si>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</si>
  <si>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</si>
  <si>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</si>
  <si>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</si>
  <si>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</si>
  <si>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</si>
  <si>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</si>
  <si>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</si>
  <si>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</si>
  <si>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</si>
  <si>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</si>
  <si>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</si>
  <si>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</si>
  <si>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</si>
  <si>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</si>
  <si>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</si>
  <si>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</si>
  <si>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</si>
  <si>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</si>
  <si>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</si>
  <si>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</si>
  <si>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</si>
  <si>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</si>
  <si>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</si>
  <si>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</si>
  <si>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</si>
  <si>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</si>
  <si>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</si>
  <si>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</si>
  <si>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</si>
  <si>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</si>
  <si>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</si>
  <si>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</si>
  <si>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</si>
  <si>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</si>
  <si>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</si>
  <si>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</si>
  <si>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</si>
  <si>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</si>
  <si>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</si>
  <si>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</si>
  <si>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</si>
  <si>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</si>
  <si>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</si>
  <si>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</si>
  <si>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</si>
  <si>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</si>
  <si>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</si>
  <si>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</si>
  <si>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</si>
  <si>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</si>
  <si>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</si>
  <si>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</si>
  <si>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</si>
  <si>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</si>
  <si>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</si>
  <si>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</si>
  <si>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</si>
  <si>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</si>
  <si>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</si>
  <si>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</si>
  <si>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</si>
  <si>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</si>
  <si>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</si>
  <si>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</si>
  <si>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</si>
  <si>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</si>
  <si>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akció HU</t>
  </si>
  <si>
    <t>SEVROLL mattrica Élettartam garancia forgy CZ</t>
  </si>
  <si>
    <t>SEVROLL mattrica Élettartam garancia forgy SK</t>
  </si>
  <si>
    <t>SEVROLL mattrica Élettartam garancia forgy HU</t>
  </si>
  <si>
    <t>SEVROLL mattrica Élettartam garancia kicsi CZ</t>
  </si>
  <si>
    <t>SEVROLL mattrica Élettartam garancia kicsi SK</t>
  </si>
  <si>
    <t>SEVROLL mattrica Élettartam garancia kicsi HU</t>
  </si>
  <si>
    <t>SEVROLL Elegant II alsó vezetés 3m RAL9003 matt</t>
  </si>
  <si>
    <t>SEVROLL Elegant II alsó vezetés 3m RAL9005 matt</t>
  </si>
  <si>
    <t>SEVROLL Gemini felső vezetés 3m RAL9003 matt</t>
  </si>
  <si>
    <t>Összekötő szöglet vas SEVROLL 17x11mm 3m RAL9003 matt</t>
  </si>
  <si>
    <t>SEVROLL U profile acél 6m ezüst</t>
  </si>
  <si>
    <t>SEVROLL Gemini felső vezetés 3m RAL7005 matt</t>
  </si>
  <si>
    <t>SEVROLL Elegant II alsó vezetés 3m RAL7005 matt</t>
  </si>
  <si>
    <t>SEVROLL Ergo fogantyú profil 2,7m RAL7005 matt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</si>
  <si>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</si>
  <si>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</si>
  <si>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</si>
  <si>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</si>
  <si>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</si>
  <si>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Alfa II profil 18mm 2,70m RAL9003 matt</t>
  </si>
  <si>
    <t>SEVROLL Gemini felső vezetés 1,7m RAL9003 matt</t>
  </si>
  <si>
    <t>SEVROLL szögletvas K2 Decor 3m RAL9003 matt</t>
  </si>
  <si>
    <t>SEVROLL összekötő profil H18 3m RAL9003 matt</t>
  </si>
  <si>
    <t>SEVROLL Fox II fogantyú profil 2,7m RAL9010 matt</t>
  </si>
  <si>
    <t>SEVROLL Gemini felső vezetés 3m RAL9010 matt</t>
  </si>
  <si>
    <t>SEVROLL felső vezető profil 3m RAL9010 matt</t>
  </si>
  <si>
    <t>SEVROLL alsó takaró profil 3m RAL9010 matt</t>
  </si>
  <si>
    <t>SEV oldalsó takaró elem Single + finomállító</t>
  </si>
  <si>
    <t>SEVROLL Factor 18 II 2,70m RAL9003 matt</t>
  </si>
  <si>
    <t>SEVROLL Fox II fogantyú profil 2,7m RAL9005 matt</t>
  </si>
  <si>
    <t>SEVROLL Gemini felső vezetés 4,05m RAL9005 matt</t>
  </si>
  <si>
    <t>SEVROLL felső vezető profil 3m RAL9005 matt</t>
  </si>
  <si>
    <t>SEVROLL alsó takaró profil 3m RAL9005 matt</t>
  </si>
  <si>
    <t>SEVROLL összekötő profil H10 3m RAL9005 matt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</si>
  <si>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</si>
  <si>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</si>
  <si>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</si>
  <si>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</si>
  <si>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</si>
  <si>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</si>
  <si>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Gemini felső vezetés 2,35m RAL8017 f</t>
  </si>
  <si>
    <t>SEVROLL Victoria II 18mm 2,7m RAL8017 fényes</t>
  </si>
  <si>
    <t>Sevroll összek.profile H18 3m RAL8017 fény.</t>
  </si>
  <si>
    <t>Sevroll Gemini felső vezetés 3m RAL9016 fény</t>
  </si>
  <si>
    <t>SEVROLL Alfa II fogantyú profil 18mm RAL9016 fényes</t>
  </si>
  <si>
    <t>Sevroll összek.profile H18 3m RAL9016 fény.</t>
  </si>
  <si>
    <t>SEVROLL Gemini felső vezetés 4,05m RAL7015 m</t>
  </si>
  <si>
    <t>Sevroll megr. Interia Znojmo RAL 9003 fé</t>
  </si>
  <si>
    <t>SEVROLL ZR10 szett szétnyíló ajtóhoz</t>
  </si>
  <si>
    <t>MSE-öntapadó támfalas kefe 6,7x13mm</t>
  </si>
  <si>
    <t>MSE-Universal 16 fogantyú profil 2,7m ol</t>
  </si>
  <si>
    <t>SEVROLL Gemini felső vezetés 2,35m RAL9001 matt</t>
  </si>
  <si>
    <t>SEVROLL Alfa II profil 18mm 2,70m RAL9001 matt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</si>
  <si>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</si>
  <si>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</si>
  <si>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</si>
  <si>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</si>
  <si>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</si>
  <si>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</si>
  <si>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</si>
  <si>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megr.Marcela RAL 9016 fé.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</si>
  <si>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</si>
  <si>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</si>
  <si>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</si>
  <si>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</si>
  <si>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</si>
  <si>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</si>
  <si>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</si>
  <si>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Era úchytová lišta 18mm 2,70m biela lesk</t>
  </si>
  <si>
    <t>SEVROLL Elegant spod.ved. 150mm biela mat</t>
  </si>
  <si>
    <t>SEVROLL Elegant spod.ved. 150mm čierna lesk</t>
  </si>
  <si>
    <t>SEVROLL Elegant sp.ved. 1,7m čierna mat</t>
  </si>
  <si>
    <t>SEVROLL Gemini horné vedenie 1,7m čierna mat</t>
  </si>
  <si>
    <t>SEVROLL Pax nalepovacia úchytka čierna mat</t>
  </si>
  <si>
    <t>SEVROLL Pax záslepka profilu (4 ks) čierna mat</t>
  </si>
  <si>
    <t>SEVROLL profil "U" pro lamino 18mm 3m čierna mat</t>
  </si>
  <si>
    <t>SEVROLL uholník 17x11mm 1,7m čierna mat</t>
  </si>
  <si>
    <t>SEVROLL spodná krycia lišta 1,7m 10mm čierny mat</t>
  </si>
  <si>
    <t>SEVROLL spod.krycia lišta 2,35m 10mm čierna mat</t>
  </si>
  <si>
    <t>SEVROLL spodná krycia lišta 3m 10mm čierna mat</t>
  </si>
  <si>
    <t>SEVROLL Pax spodná krycia lišta 3m 4mm čierna mat</t>
  </si>
  <si>
    <t>SEVROLL horná vodiaca lišta 1,7m čierna mat</t>
  </si>
  <si>
    <t>SEVROLL Maxim horné vedenie 3,5m RAL9003 les</t>
  </si>
  <si>
    <t>SEVROLL Maxim II spodné vedenie 2,5m RAL9003 lesk</t>
  </si>
  <si>
    <t>SEVROLL Maxim vodiaca lišta 3,5m RAL9003 lesk</t>
  </si>
  <si>
    <t>SEVROLL Maxim vodiaca lišta 2,5m RAL9003 lesk</t>
  </si>
  <si>
    <t>SEVROLL Maxim spodná krycia lišta 2,5m RAL9003 lesk</t>
  </si>
  <si>
    <t>SEVROLL vzorky pro HU - Victoria biela</t>
  </si>
  <si>
    <t>Sevroll Gemini horné vedenie 1,7m RAL8028 le</t>
  </si>
  <si>
    <t>Sevroll Fox II úchytová lišta 2,7m RAL8028 lesk</t>
  </si>
  <si>
    <t>Sevroll horná vodiaca lišta 1,7m RAL8028 lesk</t>
  </si>
  <si>
    <t>Sevroll spodná krycia lišta 1,7m RAL8028 lesk</t>
  </si>
  <si>
    <t>Sevroll spojovacia lišta H30 3m RAL8028 lesk</t>
  </si>
  <si>
    <t>SEVROLL Alfa II úchytová lišta 18mm RAL9016 mat</t>
  </si>
  <si>
    <t>SEVROLL Elegant II spodné vedenie 4,05m RAL9016 mat</t>
  </si>
  <si>
    <t>SEVROLL voľná karta</t>
  </si>
  <si>
    <t>SEVROLL Herkules plus horné vedenie 3m alu</t>
  </si>
  <si>
    <t>SEVROLL Pax úchytová lišta 2,7m čierna mat</t>
  </si>
  <si>
    <t>SEVROLL Pax úchytová lišta 3m čierna mat</t>
  </si>
  <si>
    <t>SEVROLL Porto úchytová lišta 3m strieborn</t>
  </si>
  <si>
    <t>SEVROLL Porto úchytová lišta 3m oliva</t>
  </si>
  <si>
    <t>SEVROLL Maxim horné vedenie 1,8m oliva</t>
  </si>
  <si>
    <t>SEVROLL spojovacia lišta H18 3m biela mat</t>
  </si>
  <si>
    <t>SEVROLL Gemini horné vedenie 3m RAL9005 lesk</t>
  </si>
  <si>
    <t>SEVROLL Gemini horné vedenie 1,7m RAL9005 le</t>
  </si>
  <si>
    <t>SEVROLL spojovacia lišta T Decor 3m RAL9003 lesk</t>
  </si>
  <si>
    <t>SEVROLL uholník K2 Decor 3m RAL9003 lesk</t>
  </si>
  <si>
    <t>SEVROLL Alfa II lišta 18mm 2,70m RAL2013 mat</t>
  </si>
  <si>
    <t>SEVROLL Tytan úch lišta 2 7m RAL9003 lesk</t>
  </si>
  <si>
    <t>SEVROLL spojovacia lišta Simple/Blue H25 3m</t>
  </si>
  <si>
    <t>Sevroll Gemini horné vedenie1,7m RAL8017 les</t>
  </si>
  <si>
    <t>SEVROLL Gemini horné vedenie 4,05m RAL9005 l</t>
  </si>
  <si>
    <t>SEVROLL Gemini úchytová lišta 2,7m čierna mat</t>
  </si>
  <si>
    <t>SEVROLL Gemini horné vedenie 2,35m RAL9005 m</t>
  </si>
  <si>
    <t>SEVROLL horná vodiaca lišta 2,35m RAL9005 ma</t>
  </si>
  <si>
    <t>SEVROLL spodná krycia lišta 2,35m RAL9005 ma</t>
  </si>
  <si>
    <t>Sevroll Gemini horné vedenie 3m RAL7016 lesk</t>
  </si>
  <si>
    <t>SEVROLL reklamné dvierko Blue 10 (8ks)</t>
  </si>
  <si>
    <t>SEVROLL spodná krycia lišta 1,7m RAL9003 mat</t>
  </si>
  <si>
    <t>SEVROLL horná vodiaca lišta 1,7m RAL9003 mat</t>
  </si>
  <si>
    <t>SEVROLL Gemini horné vedenie 1,7m biela mat</t>
  </si>
  <si>
    <t>SEVROLL Gemini horné vedenie 2,35 biela mat</t>
  </si>
  <si>
    <t>SEVROLL Gemini horné vedenie 4,05m biela mat</t>
  </si>
  <si>
    <t>SEVROLL Gemini horné vedenie 6m biela mat</t>
  </si>
  <si>
    <t>SEVROLL uholník 17x11mm 1,7m biela mat</t>
  </si>
  <si>
    <t>SEVROLL uholník 17x11mm 2,35m biela mat</t>
  </si>
  <si>
    <t>SEVROLL maska Elegant II 6m biela mat</t>
  </si>
  <si>
    <t>SEVROLL maska Elegant II 1,7m biela mat</t>
  </si>
  <si>
    <t>SEVROLL Eden hornej vedenie 2,35 m strieborná</t>
  </si>
  <si>
    <t>SEVROLL Eden sada kovania pre dvoje dvere</t>
  </si>
  <si>
    <t>SEVROLL maska Elegant II 2,35m biela mat</t>
  </si>
  <si>
    <t>SEVROLL maska Elegant II 3m biela mat</t>
  </si>
  <si>
    <t>SEVROLL maska Elegant II 4,05m biela mat</t>
  </si>
  <si>
    <t>SEVROLL Alfa II lišta 18mm 2,7m čierna lesk</t>
  </si>
  <si>
    <t>SEVROLL Fox II úch.lišta 2,7m čierna lesk</t>
  </si>
  <si>
    <t>SEVROLL spojovacia lišta H10 3m čierna lesk</t>
  </si>
  <si>
    <t>SEVROLL 02986 Maxim II spodné vedenie 1,8m oliva</t>
  </si>
  <si>
    <t>SEVROLL 02996 MAXIM II MASKA 1,8 M oliva</t>
  </si>
  <si>
    <t>SEVROLL Faworyt II úchytová lišta 2,7m</t>
  </si>
  <si>
    <t>SEVROLL Romeo IIúchytová lišta 2,7m RAL9003</t>
  </si>
  <si>
    <t>SEVROLL sada Fold pro 2 krídla ľavá</t>
  </si>
  <si>
    <t>SEVROLL sada Fold pro 2 krídla pravá</t>
  </si>
  <si>
    <t>SEVROLL Single horné vedenie 3,6m RAL9003 mat</t>
  </si>
  <si>
    <t>SEVROLL sada kovania ZSE-18 PLUS PRINCE</t>
  </si>
  <si>
    <t>SEVROLL Faworyt II úchytová liš.2,7m čierna mat</t>
  </si>
  <si>
    <t>SEVROLL spojovacia lišta H30 3m čierna mat</t>
  </si>
  <si>
    <t>SEVROLL horná vod.lišta 2,35m čierna mat</t>
  </si>
  <si>
    <t>SEVROLL horná vodiaca lišta 3m čierna mat</t>
  </si>
  <si>
    <t>SEVROLL Pax horná vodiaca lišta 3m čierna mat</t>
  </si>
  <si>
    <t>SEVROLL Gemini horné vedenie 6m čierna mat</t>
  </si>
  <si>
    <t>SEVROLL Elegant spodné vedenie 6m čierna mat</t>
  </si>
  <si>
    <t>SEVROLL maska Elegant II 1,7m čierna mat</t>
  </si>
  <si>
    <t>SEVROLL maska Elegant II 6m čierna mat</t>
  </si>
  <si>
    <t>SEVROLL spojovacia lišta H10 3m čierna mat</t>
  </si>
  <si>
    <t>SEVROLL Maxim spodná krycia lišta 1,8m 18mm oliva</t>
  </si>
  <si>
    <t>SEVROLL Harmony sada kovania pre dvoje dvere</t>
  </si>
  <si>
    <t>SEVROLL  UHOLNÍK 17*11 STRIEBOR. 4,05M</t>
  </si>
  <si>
    <t>SEVROLL Micra V sada kovania pre 1 krídlo</t>
  </si>
  <si>
    <t>SEVROLL Gemini horné vedenie 1,7m RAL9003 ma</t>
  </si>
  <si>
    <t>SEVROLL ROLL maska Elegant II 1,7 m strieborná</t>
  </si>
  <si>
    <t>SEVROLL hor.vod.lišta Simple 3m(18mm) RAL9003 lesk</t>
  </si>
  <si>
    <t>SEVROLL spod.krycia lišta Simple 3m(18mm) RAL9003 lesk</t>
  </si>
  <si>
    <t>SEVROLL maska Elegant II 3m čierny mat</t>
  </si>
  <si>
    <t>SEVROLL Gemini úchytová lišta 2,7m RAL9003 m</t>
  </si>
  <si>
    <t>SEVROLL Gemini horné vedenie 2,35m RAL9003 m</t>
  </si>
  <si>
    <t>SEVROLL horná vodiaca lišta 2,35m RAL9003 ma</t>
  </si>
  <si>
    <t>SEVROLL spodná krycia lišta 2,35m RAL9003 ma</t>
  </si>
  <si>
    <t>SEVROLL spojovacia lišta H10 3m RAL9003 mat</t>
  </si>
  <si>
    <t>SEVROLL spojovovaica lišta H08/18 3m RAL9003 lesk</t>
  </si>
  <si>
    <t>SEVROLL System 10 II lišta 2,7 RAL9003 lesk</t>
  </si>
  <si>
    <t>SEVROLL maska Elegant II 4,05m oliva new</t>
  </si>
  <si>
    <t>SEVROLL maska Elegant II 6m oliva new</t>
  </si>
  <si>
    <t>SEVROLL Blue horné vedenie 2m oliva new</t>
  </si>
  <si>
    <t>SEVROLL Blue horné vedenie 2,5m oliva new new</t>
  </si>
  <si>
    <t>SEVROLL Blue horné vedenie 3m oliva new</t>
  </si>
  <si>
    <t>SEVROLL Blue horné vedenie 4m oliva new</t>
  </si>
  <si>
    <t>SEVROLL Blue-V spodné vedenie 2,5m oliva new new</t>
  </si>
  <si>
    <t>SEVROLL Blue-V spodné vedenie 1,5m oliva new new</t>
  </si>
  <si>
    <t>SEVROLL Blue-V spodné vedenie 3m oliva new</t>
  </si>
  <si>
    <t>SEVROLL Blue-V spodné vedenie 4m oliva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</si>
  <si>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</si>
  <si>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</si>
  <si>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</si>
  <si>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</si>
  <si>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</si>
  <si>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Elegant II spodné vedenie 6m oliva new</t>
  </si>
  <si>
    <t>SEVROLL Vitara úchytová lišta 2,7m oliva new new</t>
  </si>
  <si>
    <t>SEVROLL Maxim horné vedenie 1,8m oliva new new</t>
  </si>
  <si>
    <t>SEVROLL Porto úchytová lišta 3m oliva new new</t>
  </si>
  <si>
    <t>SEVROLL Alfa II lišta 18mm 100m čierna mat</t>
  </si>
  <si>
    <t>SEVROLL Faworyt II úchytová liš.100mm biela mat</t>
  </si>
  <si>
    <t>SEVROLL Fox II úch.lišta 100mm čierna lesk</t>
  </si>
  <si>
    <t>SEVROLL 04490-M Blue-V spodné vedenie 2m oliva new</t>
  </si>
  <si>
    <t>SEVROLL Lux III úch.lišta 2,7m oliva new</t>
  </si>
  <si>
    <t>SEVROLL 00029-A 161 U PROFna DTD 18mm-3m, OLIVA new</t>
  </si>
  <si>
    <t>SEVROLL 00095-A UHOLNÍK 17*11 OLIVOVÁ 3m new</t>
  </si>
  <si>
    <t>SEVROLL horná vodiaca lišta Simple/Blue 3m (pre lamino 10mm) oliva new</t>
  </si>
  <si>
    <t>SEVROLL Focus II 18mm úchytova lišta 2,7m oliva new</t>
  </si>
  <si>
    <t>SEVROLL maska Elegant II 1,7 m oliva new</t>
  </si>
  <si>
    <t>SEVROLL vzorky BO-NA-FA</t>
  </si>
  <si>
    <t>SEVROLL Držiak horného vedenia pre lamino 16 - 25mm</t>
  </si>
  <si>
    <t>Sevroll Single horné vedenie 3m RAL9003 lesk</t>
  </si>
  <si>
    <t>Sevroll Single horné vedenie 1,7m RAL9003 lesk</t>
  </si>
  <si>
    <t>Sevroll koncovka k lište Hide N RAL9003 lesk</t>
  </si>
  <si>
    <t>SEVROLL Gemini horné vedenie 2,35 čierna mat</t>
  </si>
  <si>
    <t>SEVROLL Gemini horné vedenie 4,05m čierna mat</t>
  </si>
  <si>
    <t>SEVROLL Elegant spod.ved.4,05m čierna mat</t>
  </si>
  <si>
    <t>SEVROLL Elegant spod.ved. 2,35m čierna mat</t>
  </si>
  <si>
    <t>SEVROLL maska Elegant II 2,35m čierna mat</t>
  </si>
  <si>
    <t>SEVROLL maska Elegant II 4,05m čierna mat</t>
  </si>
  <si>
    <t>SEVROLL uholník 17x11mm 2,35m čierna mat</t>
  </si>
  <si>
    <t>SEVROLL spojovacia lišta H18 3m čierna mat</t>
  </si>
  <si>
    <t>SEVROLL doraz.kratáč zásuvný čierny 14x4mm</t>
  </si>
  <si>
    <t>SEVROLL dorazový kartáč zásuvný 4,8x4mm čierny</t>
  </si>
  <si>
    <t>SEVROLL uholník 17x11mm 1,7m RAL9005 mat</t>
  </si>
  <si>
    <t>SEVROLL Alfa II lišta 18mm 2,70m RAL7016 mat</t>
  </si>
  <si>
    <t>SEVROLL ZR-18 Unicomfort sada pre rozbalovacie dvere</t>
  </si>
  <si>
    <t>SEVROLL Comfort horné vedenie 4,05m RAL9005 lesk</t>
  </si>
  <si>
    <t>SEVROLL Doubler II spodné vedenie 4,05m RAL9005 lesk</t>
  </si>
  <si>
    <t>SEVROLL Future II úchytová lišt.2,7m RAL9005</t>
  </si>
  <si>
    <t>SEVROLL horná vodialca lišta 2,35m RAL9005 lesk</t>
  </si>
  <si>
    <t>SEVROLL spodná krycia lišta 2,35m RAL9005 lesk</t>
  </si>
  <si>
    <t>SEVROLL spojovacia lišta H30 3m RAL9005 lesk</t>
  </si>
  <si>
    <t>K-SEVROLL vzorky Úchytové lišty 2021 - doplňujúca súprava k 180245</t>
  </si>
  <si>
    <t>SEVROLL spodná krycia lišta Simple/Blue 2m (18mm) oliva new</t>
  </si>
  <si>
    <t>Sevroll Prosper úchytová lišta 2,7m RAL9003</t>
  </si>
  <si>
    <t>Sevroll Maxim horné vedenie 1,8m RAL9003 les</t>
  </si>
  <si>
    <t>Sevroll Maxim II sp.vedenie 1,8m RAL9003 les</t>
  </si>
  <si>
    <t>Sevroll Maxim vod.lišta 1,8m RAL9003 lesk</t>
  </si>
  <si>
    <t>Sevroll Maxim sp.kry.lišta 1,8m RAL9003 lesk</t>
  </si>
  <si>
    <t>SEVROLL profil "U" Mini 36 na DTD 2x18mm strieborná 3m</t>
  </si>
  <si>
    <t>SEVROLL Gemini horné vedenie 2,35 čierna lesk</t>
  </si>
  <si>
    <t>SEVROLL Elegant spod.ved. 2,35m čierna lesk</t>
  </si>
  <si>
    <t>SEVROLL maska Elegant II 2,35m čierna lesk</t>
  </si>
  <si>
    <t>SEVROLL koncovka k lište Hide N RAL9003 mat</t>
  </si>
  <si>
    <t>SEVROLL Era úchytová lišta 18mm 2,70m oliva new</t>
  </si>
  <si>
    <t>SEVROLL Blue horné vedenie 6m oliva new</t>
  </si>
  <si>
    <t>SEVROLL Blue-V spodné vedenie 6m oliva new</t>
  </si>
  <si>
    <t>SEVROLL horná vodiaca lišta Simple/Blue 3m( 18 mm) oliva new</t>
  </si>
  <si>
    <t>SEVROLL spodná krycia lišta Simple/Blue 3m (18mm) oliva new</t>
  </si>
  <si>
    <t>SEVROLL tlmič central Simple 18 25kg</t>
  </si>
  <si>
    <t>SEVROLL tlmič central Simple 18 40kg</t>
  </si>
  <si>
    <t>SEVROLL profil "U" pro lamino 18mm 3m čierna lesk</t>
  </si>
  <si>
    <t>SEVROLL uholník 17x11mm 1,7m čierna lesk</t>
  </si>
  <si>
    <t>SEVROLL uholník 17x11mm 2,35m čierna lesk</t>
  </si>
  <si>
    <t>SEVROLL uholník 17x11mm 3m čierna lesk</t>
  </si>
  <si>
    <t>SEVROLL spodná krycia lišta 1,7m 10mm čierny lesk</t>
  </si>
  <si>
    <t>SEVROLL spod.krycia lišta 2,35m 10mm čierna lesk</t>
  </si>
  <si>
    <t>SEVROLL spodná krycia lišta 3m 10mm čierna lesk</t>
  </si>
  <si>
    <t>SEVROLL horná vodiaca lišta 1,7m čierna lesk</t>
  </si>
  <si>
    <t>SEVROLL horná vod.lišta 2,35m čierna lesk</t>
  </si>
  <si>
    <t>SEVROLL horná vodiaca lišta 3m čierna lesk</t>
  </si>
  <si>
    <t>SEVROLL spojovacia lišta H18 3m čierna lesk</t>
  </si>
  <si>
    <t>SEVROLL Elegant sp.ved. 1,7m čierna lesk</t>
  </si>
  <si>
    <t>SEVROLL Elegant spod.vedenie 3m čierna lesk</t>
  </si>
  <si>
    <t>SEVROLL Elegant spod.ved.4,05m čierna lesk</t>
  </si>
  <si>
    <t>SEVROLL Elegant spodné vedenie 6m čierna lesk</t>
  </si>
  <si>
    <t>SEVROLL Gemini horné vedenie 1,7m čierna lesk</t>
  </si>
  <si>
    <t>SEVROLL Gemini horné vedenie 3m čierna lesk</t>
  </si>
  <si>
    <t>SEVROLL Gemini horné vedenie 4,05m čierna lesk</t>
  </si>
  <si>
    <t>SEVROLL Gemini horné vedenie 6m čierna lesk</t>
  </si>
  <si>
    <t>SEVROLL maska Elegant II 1,7m čierna lesk</t>
  </si>
  <si>
    <t>SEVROLL maska Elegant II 3m čierna lesk</t>
  </si>
  <si>
    <t>SEVROLL maska Elegant II 4,05m čierna lesk</t>
  </si>
  <si>
    <t>SEVROLL maska Elegant II 6m čierna lesk</t>
  </si>
  <si>
    <t>VOĽNÁ karta</t>
  </si>
  <si>
    <t>SEVROLL Karat úchytová lišta 2,7m RAL9005 mat</t>
  </si>
  <si>
    <t>SEVROLL sada kovania Galaxy B 50kg + vedenie na stenu 2,5m</t>
  </si>
  <si>
    <t>SEVROLL Oaza II úchytová lišta 2,7m RAL9003</t>
  </si>
  <si>
    <t>MSE-Faworyt II úchytová liš.2,7m biela</t>
  </si>
  <si>
    <t>SEVROLL Gemini horné vedenie 4,05m RAL9203 l</t>
  </si>
  <si>
    <t>SEVROLL Factor 18 II 2,07m RAL9203 lesk</t>
  </si>
  <si>
    <t>SEVROLL Top horné vedenie jednoduché 2,35m strieborná</t>
  </si>
  <si>
    <t>SEVROLL Herkules plus horné vedenie 1,2m</t>
  </si>
  <si>
    <t>SEVROLL vozík HP40 Herkules plus</t>
  </si>
  <si>
    <t>SEVROLL závesdverí 25 kg</t>
  </si>
  <si>
    <t>SEVROLL výpredaj</t>
  </si>
  <si>
    <t>SEVROLL Fox II úchytová lišta 2,7m RAL5000 m</t>
  </si>
  <si>
    <t>SEVROLL Gemini horné vedenie 3m RAL5000 mat</t>
  </si>
  <si>
    <t>SEVROLL horná vodiaca lišta 3m RAL5000 mat</t>
  </si>
  <si>
    <t>SEVROLL spodná krycia lišta 3m RAL5000 mat</t>
  </si>
  <si>
    <t>SEVROLL Universal úchytová lišta 2,7m RAL900</t>
  </si>
  <si>
    <t>SEVROLL sada kovania Galaxy B 50kg + vedenie na stenu 2m</t>
  </si>
  <si>
    <t>MSE-Julia II úchytová lišta 2,7m striebo</t>
  </si>
  <si>
    <t>MSE-Factor 16 II-úchytová lišta striebor</t>
  </si>
  <si>
    <t>MSE-Faworyt II úchytová lišta 2,7m strie</t>
  </si>
  <si>
    <t>MSE-Optima 16 úchytová  lišta 2,4m strie</t>
  </si>
  <si>
    <t>MSE-Optima spodné vedenie 2m surová</t>
  </si>
  <si>
    <t>MSE-Optima spodné vedenie 2,4m surová</t>
  </si>
  <si>
    <t>MSE-Optima horné vedenie 2m strieborná</t>
  </si>
  <si>
    <t>MSE-Optima horné vedenie 2,4m strieborná</t>
  </si>
  <si>
    <t>MSE-Optima sada kovania  (dvoje dvere)</t>
  </si>
  <si>
    <t>MSE-profil "U"  DTD 16mm  3m strieborný</t>
  </si>
  <si>
    <t>MSE-Ergo 16 úchytová lišta 2,7m striebor</t>
  </si>
  <si>
    <t>MSE-Fiesta 16 úchytová lišta 2,7m strieb</t>
  </si>
  <si>
    <t>MSE-Universal 16 úchytová lišta 2,7m str</t>
  </si>
  <si>
    <t>MSE-spojovacia lišta H30 3m strieborná</t>
  </si>
  <si>
    <t>MSE-spojovacia lišta H10 3m strieborná</t>
  </si>
  <si>
    <t>SEVROLL Gemini horné vedenie 3m biela mat</t>
  </si>
  <si>
    <t>SEVROLL Fox úchytová lišta 2,7m RAL9003 mat</t>
  </si>
  <si>
    <t>SEVROLL horná vod.lišta 3m RAL9003 mat</t>
  </si>
  <si>
    <t>SEVROLL spodná krycia lišta 3m RAL9003 mat</t>
  </si>
  <si>
    <t>SEVROLL Maxim horné vedenie 2,5m RAL9003 mat</t>
  </si>
  <si>
    <t>SEVROLL Maxim II spodné ved.2,5m RAL9003 mat</t>
  </si>
  <si>
    <t>SEVROLL Maxim vod.lišta 2,5m RAL9003 mat.</t>
  </si>
  <si>
    <t>SEVROLL Maxim spod.kr.lišta 2,5m RAL9003 mat</t>
  </si>
  <si>
    <t>SEVROLL Prosper úchytová lišta 2,7m RAL9003</t>
  </si>
  <si>
    <t>MSE-spojovacia lišta H16 3m strieborná</t>
  </si>
  <si>
    <t>MSE-spojovacia lišta H16 3m oliva</t>
  </si>
  <si>
    <t>MSE-spojovacia lišta H08/16 3m strieborn</t>
  </si>
  <si>
    <t>MSE-spojovacia lišta H08/16 3m oliva</t>
  </si>
  <si>
    <t>SEVROLL spod.krycia lišta Simple/Blue 3m(18mm) biela lesk</t>
  </si>
  <si>
    <t>SEVROLL hor.vod.lišta Simple 2m (18mm) biela lesk</t>
  </si>
  <si>
    <t>SEVROLL hor.vod.lišta Simple 3m(18mm) biela lesk</t>
  </si>
  <si>
    <t>SEVROLL spoj.lišta Simple H21 3m(18mm) biela lesk</t>
  </si>
  <si>
    <t>SEVROLL spojovacia lišta Simple / Blue H28 3m (18mm) biela lesk</t>
  </si>
  <si>
    <t>SEVROLL Blue-V spodné vedenie 2m biela lesk</t>
  </si>
  <si>
    <t>SEVROLL Blue-V spodné vedenie 3m biela lesk</t>
  </si>
  <si>
    <t>SEVROLL Blue horné vedenie 3m biela lesk</t>
  </si>
  <si>
    <t>SEVROLL ROMEO II ÚCH.LIŠTA 2,7 M STR.</t>
  </si>
  <si>
    <t>SEVROLL Alfa II lišta 18mm 2,7m biela mat</t>
  </si>
  <si>
    <t>SEVROLL Elegant sp.ved. 1,7m biela mat</t>
  </si>
  <si>
    <t>SEVROLL Elegant spod.ved. 2,35m biela mat</t>
  </si>
  <si>
    <t>SEVROLL Elegant spod.ved.4,05m biela mat</t>
  </si>
  <si>
    <t>SEVROLL Elegant spodné vedenie 6m biela mat</t>
  </si>
  <si>
    <t>MSE-imbusový klúc SEVROLL</t>
  </si>
  <si>
    <t>SEVROLL Fox II úch.lišta 2,7m čierna mat</t>
  </si>
  <si>
    <t>SEVROLL Single horné vedenie 6m RAL9003 lesk</t>
  </si>
  <si>
    <t>SEVROLL Hide N spodné vedenie 6m  RAL9003 lesk</t>
  </si>
  <si>
    <t>SEVROLL Eden sada kovania pre vnútorné dvere</t>
  </si>
  <si>
    <t>SEVROLL Eden sada horného vedenia 1,7 m strieborná</t>
  </si>
  <si>
    <t>SEVROLL Eden hornej vedenie 3m strieborná</t>
  </si>
  <si>
    <t>V-SEVROLL okrasná lišta S10 3m strieborná</t>
  </si>
  <si>
    <t>V-SEVROLL okrasná lišta S20 3m strieborná</t>
  </si>
  <si>
    <t>SEVROLL KOMPLET pre ROZVR. DV. ZR18</t>
  </si>
  <si>
    <t>SEVROLL Elegant spodné vedenie1,7m RAL9003 mat</t>
  </si>
  <si>
    <t>SEVROLL Single horné vedenie 1,7m RAL9003 ma</t>
  </si>
  <si>
    <t>SEVROLL Smart spodné vedenie 1,7m RAL9003 ma</t>
  </si>
  <si>
    <t>SEVROLL uholník 17*11mm 3m RAL9010 mat</t>
  </si>
  <si>
    <t>SEVROLL uholník 17*11mm 2,35m RAL9003 mat</t>
  </si>
  <si>
    <t>SEVROLL Single horné vedenie 3m RAL9003 mat</t>
  </si>
  <si>
    <t>SEVROLL Smart spodné vedenie 3m RAL9003 mat</t>
  </si>
  <si>
    <t>SEVROLL vodiaca lišta Simple/Blue 3m (pre lamino 18mm) RAL9003mat</t>
  </si>
  <si>
    <t>SEVROLL kry.lišta Simple/Blue 3m (pre lamino 18mm) RAL9003 mat</t>
  </si>
  <si>
    <t>SEVROLL Simple horné vedenie 3m RAL9003 mat</t>
  </si>
  <si>
    <t>SEVROLL Simple spodné vedenie 3m RAL9003 mat</t>
  </si>
  <si>
    <t>SEVROLL Držiak horného vedenia Herakles</t>
  </si>
  <si>
    <t>SEVROLL SADA KOVANIA ZSE-10</t>
  </si>
  <si>
    <t>SEVROLL spojovovaica lišta H08/18 3m RAL7016 mat</t>
  </si>
  <si>
    <t>SEVROLL uholník 17x11mm 3m čierna mat</t>
  </si>
  <si>
    <t>SEVROLL Gemini horné vedenie 3 čierna mat</t>
  </si>
  <si>
    <t>SEVROLL Elegant spod.ved. 3m čierna mat</t>
  </si>
  <si>
    <t>SEVROLL horná vodiaca lišta Simple/Blue 1,5m(pre lamino 18mm)RAL9003 lesk</t>
  </si>
  <si>
    <t>SEVROLL Alfa II lišta 18mm 2,7m čierna mat</t>
  </si>
  <si>
    <t>SEVROLL úhelník 17*11mm 3m RAL9005 mat</t>
  </si>
  <si>
    <t>SEVROLL Gemini horné vedenie 3m RAL9005 mat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</si>
  <si>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</si>
  <si>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</si>
  <si>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</si>
  <si>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</si>
  <si>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</si>
  <si>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</si>
  <si>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</si>
  <si>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</si>
  <si>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</si>
  <si>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</si>
  <si>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</si>
  <si>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</si>
  <si>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Comfort horné vedenie 1,7m RAL9005 lesk</t>
  </si>
  <si>
    <t>SEVROLL Doubler II spodné vedenie 1,7m RAL9005 lesk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</si>
  <si>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</si>
  <si>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</si>
  <si>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</si>
  <si>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</si>
  <si>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Universal 18 úch.lišta 2,7m oliva new</t>
  </si>
  <si>
    <t>SEVROLL Gemini-2 úch.lišta 2,7m oliva new</t>
  </si>
  <si>
    <t>SEVROLL System 10 II úch.lišta 2,7m oliva new</t>
  </si>
  <si>
    <t>SEVROLL FOX II - ÚCH.LIŠTA 2,7m oliva new</t>
  </si>
  <si>
    <t>SEVROLL Hide N spodné vedenie 6m oliva new</t>
  </si>
  <si>
    <t>SEVROLL Gemini horné vedenie 1,7m oliva new</t>
  </si>
  <si>
    <t>SEVROLL Gemini horné vedenie 2,35m oliva new</t>
  </si>
  <si>
    <t>SEVROLL Gemini horné vedenie 3m oliva new</t>
  </si>
  <si>
    <t>SEVROLL Gemini horné vedenie 4,05m oliva new</t>
  </si>
  <si>
    <t>SEVROLL 182 UHOLNÍK 17*11 oliva new 1,7m</t>
  </si>
  <si>
    <t>SEVROLL 183 UHOLNÍK 17*11 oliva new 2,35m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</si>
  <si>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</si>
  <si>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</si>
  <si>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</si>
  <si>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</si>
  <si>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</si>
  <si>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</si>
  <si>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</si>
  <si>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</si>
  <si>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</si>
  <si>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</si>
  <si>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</si>
  <si>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</si>
  <si>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</si>
  <si>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</si>
  <si>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spojovacia lišta H30 3m oliva new</t>
  </si>
  <si>
    <t>SEVROLL Master úchytová lišta 2,7m oliva new</t>
  </si>
  <si>
    <t>SEVROLL Master úchytová lišta 3m oliva new</t>
  </si>
  <si>
    <t>SEVROLL uholník K2 Decor 2,35m oliva new</t>
  </si>
  <si>
    <t>SEVROLL uholník K2 Decor 3m oliva new</t>
  </si>
  <si>
    <t>SEVROLL spojovacia lišta H18 3m oliva new</t>
  </si>
  <si>
    <t>SEVROLL spojovacia lišta T Decor 3m oliva new</t>
  </si>
  <si>
    <t>SEVROLL Single horné vedenie 1,7m oliva new</t>
  </si>
  <si>
    <t>SEVROLL Single horné vedenie 3m oliva new</t>
  </si>
  <si>
    <t>SEVROLL SMART spodné vedenia 1,7 M oliva new</t>
  </si>
  <si>
    <t>SEVROLL SMART spodné vedenia 2,35M oliva new</t>
  </si>
  <si>
    <t>SEVROLL SMART SPODNÉ VEDENIE 3M oliva new</t>
  </si>
  <si>
    <t>SEVROLL Elegant spodné vedenie 2,35m oliva new</t>
  </si>
  <si>
    <t>SEVROLL Elegant spodné vedenie 3m oliva new</t>
  </si>
  <si>
    <t>SEVROLL Elegant spodné vedenie 4,05m oliva new</t>
  </si>
  <si>
    <t>SEVROLL profil "U" pre DTD 16mm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</si>
  <si>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</si>
  <si>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</si>
  <si>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</si>
  <si>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</si>
  <si>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</si>
  <si>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</si>
  <si>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18 II-UCH.LIŠTA oliva new 2,7m</t>
  </si>
  <si>
    <t>SEVROLL Factor 16 II-úchyt.lišta oliva new 2,7m</t>
  </si>
  <si>
    <t>SEVROLL Victoria II úch.liš. 18mm 2,7m oliva new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</si>
  <si>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</si>
  <si>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</si>
  <si>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</si>
  <si>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</si>
  <si>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</si>
  <si>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</si>
  <si>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</si>
  <si>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</si>
  <si>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</si>
  <si>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</si>
  <si>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</si>
  <si>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</si>
  <si>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</si>
  <si>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</si>
  <si>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</si>
  <si>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</si>
  <si>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</si>
  <si>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</si>
  <si>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</si>
  <si>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</si>
  <si>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</si>
  <si>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</si>
  <si>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</si>
  <si>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</si>
  <si>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</si>
  <si>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</si>
  <si>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</si>
  <si>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</si>
  <si>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Alfa II úch.lišta 18mm 2,7m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</si>
  <si>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</si>
  <si>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</si>
  <si>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</si>
  <si>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</si>
  <si>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</si>
  <si>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</si>
  <si>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</si>
  <si>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</si>
  <si>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</si>
  <si>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</si>
  <si>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</si>
  <si>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</si>
  <si>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</si>
  <si>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spojovacia lišta Simple/Blue H28 3m ( pre lamino 18mm )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</si>
  <si>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</si>
  <si>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</si>
  <si>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</si>
  <si>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</si>
  <si>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</si>
  <si>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</si>
  <si>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</si>
  <si>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</si>
  <si>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</si>
  <si>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</si>
  <si>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</si>
  <si>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1,5m ( pre lamino 18 mm ) oliva new</t>
  </si>
  <si>
    <t>SEVROLL horná vodiaca lišta Simple/Blue 2m ( pre lamino 18 mm) oliva new</t>
  </si>
  <si>
    <t>SEVROLL horná vodiaca lišta Simple/Blue 2,5m (pre lamino 18mm) oliva new</t>
  </si>
  <si>
    <t>SEVROLL spodná krycia lišta Simple/Blue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</si>
  <si>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</si>
  <si>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</si>
  <si>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</si>
  <si>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</si>
  <si>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</si>
  <si>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</si>
  <si>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H21 3m ( pre lamino 18 mm 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</si>
  <si>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</si>
  <si>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</si>
  <si>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</si>
  <si>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</si>
  <si>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</si>
  <si>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</si>
  <si>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</si>
  <si>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</si>
  <si>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</si>
  <si>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Gemini spodné vedenie 1,7m oliva new</t>
  </si>
  <si>
    <t>SEVROLL Gemini spodné vedenie 2,35m oliva new</t>
  </si>
  <si>
    <t>SEVROLL Gemini spodné vedenie 3m oliva new</t>
  </si>
  <si>
    <t>SEVROLL Gemini II spodné vedenie 4,05m oliva new</t>
  </si>
  <si>
    <t>SEVROLL Gemini spodné vedenie 6m oliva new</t>
  </si>
  <si>
    <t>SEVROLL maska Elegant II 2,35 m oliva new</t>
  </si>
  <si>
    <t>SEVROLL Elegant II spodné vedenie 1,7m oliva new</t>
  </si>
  <si>
    <t>SEVROLL Rekord úchytková lišta 18mm 2,70m oliva new</t>
  </si>
  <si>
    <t>SEVROLL maska Elegant II 3m oliva new</t>
  </si>
  <si>
    <t>SEVROLL akcia HU</t>
  </si>
  <si>
    <t>SEVROLL samolepka Doživotná záruka veľká CZ</t>
  </si>
  <si>
    <t>SEVROLL samolepka Doživotná záruka veľká SK</t>
  </si>
  <si>
    <t>SEVROLL samolepka Doživotná záruka veľká HU</t>
  </si>
  <si>
    <t>SEVROLL samolepka Doživotná záruka malá CZ</t>
  </si>
  <si>
    <t>SEVROLL samolepka Doživotná záruka malá SK</t>
  </si>
  <si>
    <t>SEVROLL samolepka Doživotná záruka malá HU</t>
  </si>
  <si>
    <t>SEVROLL U profil oceľový 6m strieborný</t>
  </si>
  <si>
    <t>SEVROLL Gemini horné vedenie 3m RAL7005 mat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</si>
  <si>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</si>
  <si>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</si>
  <si>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</si>
  <si>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</si>
  <si>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</si>
  <si>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uholník K2 Decor 3m RAL9003 mat</t>
  </si>
  <si>
    <t>SEVROLL spojovacia lišta H18 3m RAL9003 mat</t>
  </si>
  <si>
    <t>SEVROLL Fox úchytová lišta 2,7m RAL9010 mat</t>
  </si>
  <si>
    <t>SEVROLL Gemini horné vedenie 3m RAL9010 mat</t>
  </si>
  <si>
    <t>SEVROLL horná vod.lišta 3m RAL9010 mat</t>
  </si>
  <si>
    <t>SEVROLL spodná krycia lišta 3m RAL9010 mat</t>
  </si>
  <si>
    <t>SEV-bočná krytka profilu Single+pozic.</t>
  </si>
  <si>
    <t>SEVROLL Fox II úchytová lišta 2,7m RAL9005 m</t>
  </si>
  <si>
    <t>SEVROLL Gemini horné vedenie 4,05m RAL9005 m</t>
  </si>
  <si>
    <t>SEVROLL horná vodiaca lišta 3m RAL9005 mat</t>
  </si>
  <si>
    <t>SEVROLL spodná krycia lišta 3m RAL9005 mat</t>
  </si>
  <si>
    <t>SEVROLL spojovacia lišta H10 3m RAL9005 mat</t>
  </si>
  <si>
    <t>SEVROLL sada Apollo 2/756</t>
  </si>
  <si>
    <t>SEVROLL sada kovania ZSE-10 PLUS</t>
  </si>
  <si>
    <t>SEVROLL sada kovania ZSE-18</t>
  </si>
  <si>
    <t>SEVROLL sada kovania ZSE-18 PLUS</t>
  </si>
  <si>
    <t>SEVROLL sada kovania ZSE-18 Plus</t>
  </si>
  <si>
    <t>SEVROLL Alfa II lišta 18mm 100m oliva new</t>
  </si>
  <si>
    <t>Sevroll Gemini horné vedenie 2,35m RAL8017 l</t>
  </si>
  <si>
    <t>Sevroll spojovacia lišta H18 3m RAL8017 lesk</t>
  </si>
  <si>
    <t>Sevroll Gemini horné vedenie 3m RAL9016 lesk</t>
  </si>
  <si>
    <t>SEVROLL Alfa II lišta 18mm 2,70m RAL9016 les</t>
  </si>
  <si>
    <t>Sevroll spojovacia lišta H18 3m RAL9016 lesk</t>
  </si>
  <si>
    <t>SEVROLL Gemini horné vedenie 4,05m RAL7015 m</t>
  </si>
  <si>
    <t>Sevroll zákazka Interia Znojmo RAL 9003 lesk</t>
  </si>
  <si>
    <t>SEVROLL ZR10 sada pre rozbalovacie dvere</t>
  </si>
  <si>
    <t>MSE-dorazová kefka samolepiaci  6,7x13mm</t>
  </si>
  <si>
    <t>MSE-Universal 16 úchytová lišta 2,7m oli</t>
  </si>
  <si>
    <t>SEVROLL Gemini horné vedenie 2,35m RAL9001 m</t>
  </si>
  <si>
    <t>SEVROLL Wilson držiak tyče</t>
  </si>
  <si>
    <t>SEVROLL WIL.NOSNÍK 2,108M STr.</t>
  </si>
  <si>
    <t>SEVROLL Wilson konzola 300mm strieborná</t>
  </si>
  <si>
    <t>SEVROLL Wilson konzola 500mm strieborná</t>
  </si>
  <si>
    <t>SEVROLL Wilson tyč priemer 25mm 1,2m strieborná</t>
  </si>
  <si>
    <t>SEVROLL Wilson montážny klip silver</t>
  </si>
  <si>
    <t>SEVROLL WIL.ZÁSLEPKA TYČE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</si>
  <si>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</si>
  <si>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</si>
  <si>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</si>
  <si>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</si>
  <si>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</si>
  <si>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</si>
  <si>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Tytan rączka 2,7m RAL1036 połysk</t>
  </si>
  <si>
    <t>SEVROLL Gemini tor górny 2,35m RAL1036 połysk</t>
  </si>
  <si>
    <t>SEVROLL wiertło stopniowe 6,5/9,5mm (promocja)</t>
  </si>
  <si>
    <t>SEVROLL element montażowy do płyty laminowanej 10mm mały (promocja)</t>
  </si>
  <si>
    <t>SEVROLL klucz imbusowy SEVROLL</t>
  </si>
  <si>
    <t>Sevroll Rączka Era 18 mm 2,70 m biała połysk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</si>
  <si>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</si>
  <si>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</si>
  <si>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</si>
  <si>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</si>
  <si>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</si>
  <si>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Elegant II tor dolny 1,7m czarny mat</t>
  </si>
  <si>
    <t>SEVROLL Gemini tor górny 1,7m czarny mat</t>
  </si>
  <si>
    <t>SEVROLL Pax uchwyt przyklejany czarny polysk</t>
  </si>
  <si>
    <t>SEVROLL Pax zaślepka do rączki (4 szt.), czarny mat</t>
  </si>
  <si>
    <t>SEVROLL profil "U" do płyty laminowanej 18mm 3m czarny mat</t>
  </si>
  <si>
    <t>SEVROLL kątownik 17x11mm 1,7m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</si>
  <si>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</si>
  <si>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</si>
  <si>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</si>
  <si>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</si>
  <si>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</si>
  <si>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</si>
  <si>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</si>
  <si>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Maxim tor górny 3,5m RAL9003 połysk</t>
  </si>
  <si>
    <t>SEVROLL Maxim II tor dolny 2,5m RAL9003 połysk</t>
  </si>
  <si>
    <t>SEVROLL Maxim II zaślepka do toru 2,5m RAL9003 połysk</t>
  </si>
  <si>
    <t>SEVROLL Maxim tor 3,5 m RAL9003 połysk</t>
  </si>
  <si>
    <t>SEVROLL Maxim tor 2,5 m RAL9003 połysk</t>
  </si>
  <si>
    <t>SEVROLL Maxim maskownica dolna 2,5 m RAL9003 połysk</t>
  </si>
  <si>
    <t>SEVROLL wzorniki dla HU - Victoria biała</t>
  </si>
  <si>
    <t>Sevroll Tor górny Gemini RAL8028-1,70 m połysk</t>
  </si>
  <si>
    <t>Sevroll Rączka Fox II 2,7 m RAL8028 połysk</t>
  </si>
  <si>
    <t>Sevroll listwa pozioma górfor 1,7 m RAL8028 połysk</t>
  </si>
  <si>
    <t>Sevroll dolfor listwa maskująca 1,7 m RAL8028 połysk</t>
  </si>
  <si>
    <t>Sevroll Łącznik H30 3 m RAL8028 połysk</t>
  </si>
  <si>
    <t>SEVROLL Raczka Alfa II 18 mm RAL9016 matt</t>
  </si>
  <si>
    <t>SEVROLL Tor górny Gemini 4,05 m RAL9016 matt</t>
  </si>
  <si>
    <t>SEVROLL Elegant II tor dolny 4,05 m RAL9016 matt</t>
  </si>
  <si>
    <t>SEVROLL zaślepka Elegant II 4,05 m RAL9016 matt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</si>
  <si>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</si>
  <si>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</si>
  <si>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</si>
  <si>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</si>
  <si>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</si>
  <si>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</si>
  <si>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</si>
  <si>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</si>
  <si>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wolfor karta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</si>
  <si>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</si>
  <si>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</si>
  <si>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</si>
  <si>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</si>
  <si>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</si>
  <si>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</si>
  <si>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</si>
  <si>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</si>
  <si>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</si>
  <si>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</si>
  <si>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</si>
  <si>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</si>
  <si>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</si>
  <si>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</si>
  <si>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</si>
  <si>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</si>
  <si>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tor górny 3m RAL9005 połysk</t>
  </si>
  <si>
    <t>SEVROLL Gemini tor górny 1,7m RAL9005 połysk</t>
  </si>
  <si>
    <t>SEVROLL listwa łącząca T Decor 3m RAL9003 połysk</t>
  </si>
  <si>
    <t>SEVROLL kątownik K2 Decor 3m RAL9003 połysk</t>
  </si>
  <si>
    <t>SEVROLL Gemini tor górny 4,05m RAL7016 matowy</t>
  </si>
  <si>
    <t>SEVROLL Alfa II rączka 18 mm RAL2013 mat</t>
  </si>
  <si>
    <t>SEVROLL Tytan rączka 2,7 m RAL9003 połysk</t>
  </si>
  <si>
    <t>SEV-Łącznik Simple/Blue H25 3 m (16 mm) srebrny</t>
  </si>
  <si>
    <t>SEV-Łącznik Simple/Blue H25 3 m (16 mm) oliwka</t>
  </si>
  <si>
    <t>SEV-Tor górny Gemini RAL8017 połysk, 1,70 m</t>
  </si>
  <si>
    <t>SEVROLL Alfa II rączka 18mm 2,7m RAL9005 połysk</t>
  </si>
  <si>
    <t>SEVROLL Gemini tor górny 4,05m RAL9005 połysk</t>
  </si>
  <si>
    <t>SEVROLL Gemini rączka 2,7m czarny mat</t>
  </si>
  <si>
    <t>SEVROLL Gemini tor górny 2,35m RAL9005 matowy</t>
  </si>
  <si>
    <t>SEVROLL tor dolny 2,35m RAL9005 matowy</t>
  </si>
  <si>
    <t>SEVROLL maskownica dolna 2,35m RAL9005 matowy</t>
  </si>
  <si>
    <t>SEVROLL Alfa II rączka 18mm 2,7m RAL7016 połysk</t>
  </si>
  <si>
    <t>Sevroll Tor górny Gemini-RAL7016 polysk-3,00</t>
  </si>
  <si>
    <t>SEVROLL Elegant II tor dolny 3m RAL9005 matowy</t>
  </si>
  <si>
    <t>SEVROLL maskownica Elegant II 3 m, RAL7016 połysk</t>
  </si>
  <si>
    <t>SEVROLL listwa łącząca "T" 3m srebrny</t>
  </si>
  <si>
    <t>SEVROLL Gemini tor górny 2,35m RAL7016 matowy</t>
  </si>
  <si>
    <t>Sevroll zamówienie Albakmen RAL9003 połysk</t>
  </si>
  <si>
    <t>Sevroll listwa ozdobfor S20 3 m RAL9003 połysk</t>
  </si>
  <si>
    <t>SEVROLL zamówienie Dobalex</t>
  </si>
  <si>
    <t>SEVROLL Wzornik deseczka Blue 10 (8 szt.)</t>
  </si>
  <si>
    <t>SEVROLL Tor górny Gemini 4,05 m RAL9003 matt</t>
  </si>
  <si>
    <t>SEVROLL dolfor listwa maskująca 1,7 m RAL9003 matt</t>
  </si>
  <si>
    <t>SEVROLL listwa pozioma górfor 1,7 m RAL9003 matt</t>
  </si>
  <si>
    <t>SEVROLL Pax XL rączka 2,7m biały polysk</t>
  </si>
  <si>
    <t>SEVROLL Gemini tor górny 1,7m biały matowy</t>
  </si>
  <si>
    <t>SEVROLL Gemini tor górny 2,35m biały matowy</t>
  </si>
  <si>
    <t>SEVROLL Gemini tor górny 4,05m biały matowy</t>
  </si>
  <si>
    <t>SEVROLL Gemini tor górny 6m biały matowy</t>
  </si>
  <si>
    <t>SEVROLL kątownik 17x11mm 1,7m biały matowy</t>
  </si>
  <si>
    <t>SEVROLL kątownik 17x11mm 2,35m biały matowy</t>
  </si>
  <si>
    <t>SEVROLL zaślepka do toru Elegant II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</si>
  <si>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</si>
  <si>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</si>
  <si>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</si>
  <si>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</si>
  <si>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</si>
  <si>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</si>
  <si>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</si>
  <si>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</si>
  <si>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</si>
  <si>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</si>
  <si>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</si>
  <si>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Faworyt II rączka 2,7m RAL9005 matowy</t>
  </si>
  <si>
    <t>SEVROLL Szpros S20 3m RAL9005 matowy</t>
  </si>
  <si>
    <t>SEVROLL Romeo II rączka 2,7m RAL9003 połysk</t>
  </si>
  <si>
    <t>SEVROLL zestaw Fold do 2 skrzydeł lewy</t>
  </si>
  <si>
    <t>SEVROLL zestaw Fold do 2 skrzydeł prawy</t>
  </si>
  <si>
    <t>SEVROLL Julia II rączka 2,7m RAL9003 matowy</t>
  </si>
  <si>
    <t>SEVROLL Single tor górny 3,6 m RAL9003 matt</t>
  </si>
  <si>
    <t>SEVROLL Zestaw ZSE-18 PLUS Prince (Exclusive</t>
  </si>
  <si>
    <t>SEVROLL Faworyt II rączka 2,7 m, czarna matowa</t>
  </si>
  <si>
    <t>SEVROLL listwa łącząca H30 3m czarny mat</t>
  </si>
  <si>
    <t>SEVROLL teownik 04 3m czarny mat</t>
  </si>
  <si>
    <t>SEVROLL listwa pozioma górna 2,35m czarny mat</t>
  </si>
  <si>
    <t>SEVROLL listwa pozioma górna 3m czarny mat</t>
  </si>
  <si>
    <t>SEVROLL Pax tor dolny 3m czarny mat</t>
  </si>
  <si>
    <t>SEVROLL Gemini tor górny 6m czarny mat</t>
  </si>
  <si>
    <t>SEVROLL Elegant II tor dolny 6m czarny mat</t>
  </si>
  <si>
    <t>SEVROLL zaślepka do toru Elegant II 1,7m czarny mat</t>
  </si>
  <si>
    <t>SEVROLL zaślepka do toru Elegant II 6m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</si>
  <si>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</si>
  <si>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</si>
  <si>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</si>
  <si>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</si>
  <si>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kątownik 17x11mm 4,05m srebrny</t>
  </si>
  <si>
    <t>SEVROLL Micra V zestaw okuć dla 1 skrzydła</t>
  </si>
  <si>
    <t>SEVROLL Gemini tor górny 1,7m RAL9003 matowy</t>
  </si>
  <si>
    <t>SEVROLL Elegant II tor dolny 1,7m srebrny</t>
  </si>
  <si>
    <t>SEVROLL zaślepka do toru Elegant II 1,7m srebrny</t>
  </si>
  <si>
    <t>SEVROLL Ekspozycja dla EMIKON MEBEL,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</si>
  <si>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</si>
  <si>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</si>
  <si>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</si>
  <si>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zaślepka do toru Elegant II 3m czarny mat</t>
  </si>
  <si>
    <t>SEVROLL Gemini rączka 2,7m RAL9003 matowy</t>
  </si>
  <si>
    <t>SEVROLL Gemini tor górny 2,35m RAL9003 matowy</t>
  </si>
  <si>
    <t>SEVROLL tor dolny 2,35m RAL9003 matowy</t>
  </si>
  <si>
    <t>SEVROLL maskownica dolna 2,35m RAL9003 matowy</t>
  </si>
  <si>
    <t>SEVROLL listwa łącząca H10 3m RAL9003 matowy</t>
  </si>
  <si>
    <t>SEVROLL listwa łącząca H08/18 3m RAL9003 połysk</t>
  </si>
  <si>
    <t>SEVROLL System 10 II rączka 2,7m RAL9003 połysk</t>
  </si>
  <si>
    <t>SEVROLL zaślepka do toru Elegant II 4,05m jasny brąz new</t>
  </si>
  <si>
    <t>SEVROLL zaślepka do toru Elegant II 6m jasny brąz new</t>
  </si>
  <si>
    <t>SEVROLL Blue tor górny 2m jasny brąz new</t>
  </si>
  <si>
    <t>SEVROLL Blue tor górny 2,5m jasny brąz new</t>
  </si>
  <si>
    <t>SEVROLL Blue tor górny 3m jasny brąz new</t>
  </si>
  <si>
    <t>SEVROLL Blue tor górny 4m jasny brąz new</t>
  </si>
  <si>
    <t>SEVROLL Blue-V tor dolny 2,5m jasny brąz new</t>
  </si>
  <si>
    <t>SEVROLL Blue-V tor dolny 1,5m jasny brąz new</t>
  </si>
  <si>
    <t>SEVROLL Blue-V tor dolny 3m jasny brąz new</t>
  </si>
  <si>
    <t>SEVROLL Blue-V tor dolny 4m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</si>
  <si>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</si>
  <si>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</si>
  <si>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</si>
  <si>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</si>
  <si>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</si>
  <si>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Elegant II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</si>
  <si>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</si>
  <si>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</si>
  <si>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</si>
  <si>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</si>
  <si>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</si>
  <si>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</si>
  <si>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</si>
  <si>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</si>
  <si>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</si>
  <si>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00095-A kątownik 17x11mm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</si>
  <si>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</si>
  <si>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</si>
  <si>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</si>
  <si>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</si>
  <si>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wzorniki Ma-Bu Kft</t>
  </si>
  <si>
    <t>SEVROLL wzorniki Szaki-Barkács Kft.</t>
  </si>
  <si>
    <t>SEVROLL wzorniki Vass-Contakt Bt.</t>
  </si>
  <si>
    <t>SEVROLL wzorniki BO-for-FA</t>
  </si>
  <si>
    <t>SEVROLL Prosper II rączka 2,8m jasny brąz</t>
  </si>
  <si>
    <t>Sevroll Single tor górny 3 m RAL9003 połysk</t>
  </si>
  <si>
    <t>Sevroll Single tor górny 1,7 m RAL9003 połysk</t>
  </si>
  <si>
    <t>Sevroll końcówka do listwy Hide N RAL9003 połysk</t>
  </si>
  <si>
    <t>SEVROLL profil "U" do płyty laminowanej 18mm 3m RAL9003 matowy</t>
  </si>
  <si>
    <t>SEVROLL Gemini tor górny 2,35m czarny mat</t>
  </si>
  <si>
    <t>SEVROLL Gemini tor górny 4,05m czarny mat</t>
  </si>
  <si>
    <t>SEVROLL Elegant II tor dolny 4,05m czarny mat</t>
  </si>
  <si>
    <t>SEVROLL Elegant II tor dolny 2,35m czarny mat</t>
  </si>
  <si>
    <t>SEVROLL zaślepka do toru Elegant II 2,35m czarny mat</t>
  </si>
  <si>
    <t>SEVROLL zaślepka do toru Elegant II 4,05m czarny mat</t>
  </si>
  <si>
    <t>SEVROLL kątownik 17x11mm 2,35m czarny mat</t>
  </si>
  <si>
    <t>SEVROLL listwa łącząca H18 3m czarny mat</t>
  </si>
  <si>
    <t>SEVROLL szczotka odbojowa bez kleju 14x4mm czarna</t>
  </si>
  <si>
    <t>SEVROLL szczotka odbojowa bez kleju 4,8x4mm czarna</t>
  </si>
  <si>
    <t>SEVROLL Elegant II tor dolny 3m RAL7016 matowy</t>
  </si>
  <si>
    <t>SEVROLL Gemini tor górny 3m RAL7016 matowy</t>
  </si>
  <si>
    <t>SEVROLL Alfa II rączka 18mm RAL7016 matowy</t>
  </si>
  <si>
    <t>SEVROLL ZR-18 Unicomfort zestaw do drzwi rozwieranych</t>
  </si>
  <si>
    <t>Sevroll Sevroll ZAMOWIENIE KUPKA RAL 8016 POLYSK</t>
  </si>
  <si>
    <t>SEVROLL Comfort tor górny 4,05m RAL9005 połysk</t>
  </si>
  <si>
    <t>SEVROLL Doubler II tor dolny 4,05m RAL9005 połysk</t>
  </si>
  <si>
    <t>SEVROLL Doubler II maskownica 4,05m RAL9005 połysk</t>
  </si>
  <si>
    <t>SEVROLL Future II rączka 2,7 m, RAL9005 połysk</t>
  </si>
  <si>
    <t>SEVROLL tor dolny 2,35 m, RAL9005 połysk</t>
  </si>
  <si>
    <t>SEVROLL maskownica dolna 2,35m RAL9005 połysk</t>
  </si>
  <si>
    <t>SEVROLL listwa łącząca H30 3m RAL9005 połysk</t>
  </si>
  <si>
    <t>SEVROLL Blue tor górny 4m srebrny</t>
  </si>
  <si>
    <t>SEVROLL Blue-V tor dolny 4m srebrny</t>
  </si>
  <si>
    <t>SEVROLL zestaw Herkules plus 25kg HP2/25 1,2m</t>
  </si>
  <si>
    <t>SEVROLL maskownica dolna Simple/Blue 2m (18mm) jasny brąz  new</t>
  </si>
  <si>
    <t>SEVROLL zamówienie Škandera RAL 1015 matt</t>
  </si>
  <si>
    <t>Sevroll ZAMOWIENIE HANUS RAL 9023 POLYSK</t>
  </si>
  <si>
    <t>SEV-Rączka Prosper 2,7 m, RAL9003, połysk</t>
  </si>
  <si>
    <t>Sevroll Tor górny Maxim RAL9003 polysk-1,80 m</t>
  </si>
  <si>
    <t>SEV-Tor dolny Maxim II, RAL9003, 1,8 m</t>
  </si>
  <si>
    <t>Sevroll Zaślepka toru Maxim II RAL9003p-1,8 m</t>
  </si>
  <si>
    <t>SEV-Tor Maxim 1,8 m, RAL9003 połysk</t>
  </si>
  <si>
    <t>SEV-Maxim dolna maskownica 1,8 m, RAL9003 połysk</t>
  </si>
  <si>
    <t>SEVROLL profile "U" Mini 36 do DTD 2x18 mm srebrny 3 m</t>
  </si>
  <si>
    <t>SEVROLL Gemini tor górny 2,35m czarny połysk</t>
  </si>
  <si>
    <t>SEVROLL Elegant II tor dolny 2,35m czarny połysk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</si>
  <si>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</si>
  <si>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</si>
  <si>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</si>
  <si>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</si>
  <si>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Karat rączka 2,7m RAL7016 matowy</t>
  </si>
  <si>
    <t>SEVROLL tor dolny 3m RAL7016 matowy</t>
  </si>
  <si>
    <t>SEVROLL tor dolny 2,35m RAL7016 matowy</t>
  </si>
  <si>
    <t>SEVROLL maskownica dolna 3m RAL7016 matowy</t>
  </si>
  <si>
    <t>SEVROLL maskownica dolna 2,35m RAL7016 matowy</t>
  </si>
  <si>
    <t>SEVROLL listwa łącząca H10 Decor 3m RAL7016 matowy</t>
  </si>
  <si>
    <t>SEVROLL końcówka do listwy Hide N RAL9003 matt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</si>
  <si>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</si>
  <si>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</si>
  <si>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</si>
  <si>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</si>
  <si>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Era rączka 18mm 2,70m jasny brąz new</t>
  </si>
  <si>
    <t>SEVROLL Blue tor górny 6m jasny brąz new</t>
  </si>
  <si>
    <t>SEVROLL Blue-V tor dolny 6m jasny brąz new</t>
  </si>
  <si>
    <t>SEVROLL tor dolny Simple/Blue 3m (18mm) jasny brąz new</t>
  </si>
  <si>
    <t>SEVROLL maskownica dolna Simple/Blue 3m (18mm) jasny brąz new</t>
  </si>
  <si>
    <t>SEVROLL tłumienie central Simple 18 25kg</t>
  </si>
  <si>
    <t>SEVROLL tłumienie central Simple 18 40kg</t>
  </si>
  <si>
    <t>SEVROLL profil "U" do płyty laminowanej 18mm 3m czarny połysk</t>
  </si>
  <si>
    <t>SEVROLL kątownik 17x11mm 1,7m czarny połysk</t>
  </si>
  <si>
    <t>SEVROLL kątownik 17x11mm 2,35m czarny połysk</t>
  </si>
  <si>
    <t>SEVROLL kątownik 17x11mm 3m czarny połysk</t>
  </si>
  <si>
    <t>SEVROLL listwa pozioma dolna 1,7m 10mm czarny połysk</t>
  </si>
  <si>
    <t>SEVROLL listwa pozioma dolna 2,35m 10mm czarny połysk</t>
  </si>
  <si>
    <t>SEVROLL listaw pozioma dolna 3m 10mm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</si>
  <si>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</si>
  <si>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</si>
  <si>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</si>
  <si>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</si>
  <si>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1,7m czarny połysk</t>
  </si>
  <si>
    <t>SEVROLL Elegant II tor dolny 3m czarny połysk</t>
  </si>
  <si>
    <t>SEVROLL Elegant II tor dolny 4,05m czarny połysk</t>
  </si>
  <si>
    <t>SEVROLL Elegant II tor dolny 6m czarny połysk</t>
  </si>
  <si>
    <t>SEVROLL Gemini tor górny 1,7m czarny połysk</t>
  </si>
  <si>
    <t>SEVROLL Gemini tor górny 3m czarny połysk</t>
  </si>
  <si>
    <t>SEVROLL Gemini tor górny 4,05m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</si>
  <si>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</si>
  <si>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</si>
  <si>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</si>
  <si>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</si>
  <si>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</si>
  <si>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PUSTA KARTA</t>
  </si>
  <si>
    <t>SEVROLL Karat rączka 2,7 m RAL9005 matt</t>
  </si>
  <si>
    <t>SEVROLL Single tor górny 6m jasny brąz</t>
  </si>
  <si>
    <t>SEVROLL wózek dolny WD10 V Duo 60kg (2 szt)</t>
  </si>
  <si>
    <t>SEVROLL Oaza II rączka 2,7m RAL9003 matowy</t>
  </si>
  <si>
    <t>MSE-Rączka Faworyt 16/18 II, biała, 2,7 m</t>
  </si>
  <si>
    <t>MSE-Rączka Faworyt II 2,7 m, biała połysk</t>
  </si>
  <si>
    <t>SEVROLL Gemini tor górny 4,05m RAL9203 połysk</t>
  </si>
  <si>
    <t>SEVROLL Factor 18 II 2,7m RAL9203 połysk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</si>
  <si>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</si>
  <si>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</si>
  <si>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</si>
  <si>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</si>
  <si>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SEVROLL zamowienie RAL 7016 matt</t>
  </si>
  <si>
    <t>SEVROLL wyprzedaż</t>
  </si>
  <si>
    <t>SEVROLL Fox II rączka 2,7 m RAL5000 mat</t>
  </si>
  <si>
    <t>SEVROLL Gemini tor górny 3m RAL5000 matowy</t>
  </si>
  <si>
    <t>SEVROLL tor dolny 3m RAL5000 matowy</t>
  </si>
  <si>
    <t>SEVROLL maskownica dolna 3m RAL5000 matowy</t>
  </si>
  <si>
    <t>SEVROLL Universal rączka 2,7 m RAL9003 matowy</t>
  </si>
  <si>
    <t>MSE-RACZKA JULIA II 2,7 M srebrna</t>
  </si>
  <si>
    <t>MSE-RACZKA FACTOR 16 II SREBRNA-2,7 m</t>
  </si>
  <si>
    <t>MSE-RACZKA FAWORYT II 16/18 srebrna 2,7 m</t>
  </si>
  <si>
    <t>MSE-Rączka Optima 16 srebrna-2,40 m</t>
  </si>
  <si>
    <t>MSE-Tor dolny Optima-2,00m</t>
  </si>
  <si>
    <t>MSE-Tor dolny Optima surowy-2,40m</t>
  </si>
  <si>
    <t>MSE-Tor górny Optima srebrny-2,00m</t>
  </si>
  <si>
    <t>MSE-Tor górny Optima srebrny-2,40m</t>
  </si>
  <si>
    <t>MSE-Zestaw do drzwi przesuw.Optima (2szt</t>
  </si>
  <si>
    <t>MSE-Ceownik 16 srebrny-3,00m (Macedonia)</t>
  </si>
  <si>
    <t>MSE-Rączka Ergo 16 sreb.-2,70 m</t>
  </si>
  <si>
    <t>MSE-Rączka Fiesta 16 srebrna, 2,70 m</t>
  </si>
  <si>
    <t>MSE-Rączka Universal 16 sreb.-2,70 m</t>
  </si>
  <si>
    <t>MSE-Łącznik H30-Decor srebrny-3,00m.</t>
  </si>
  <si>
    <t>MSE-Łącznik H10 srebrny-3,00m.</t>
  </si>
  <si>
    <t>SEVROLL Tor górny Gemini 3 m biały matowy</t>
  </si>
  <si>
    <t>SEVROLL Fox II rączka 2,7 m RAL9003 matowa</t>
  </si>
  <si>
    <t>SEVROLL Listwa poz.górfor-Dec.RAL9003 matt-3 m</t>
  </si>
  <si>
    <t>SEVROLL Listwa poz.dolfor- RAL9003 matt -3,00 m</t>
  </si>
  <si>
    <t>SEVROLL Tor górny Maxim RAL9003 matt-2,50 m</t>
  </si>
  <si>
    <t>SEV-Tor dolny Maxim II RAL9003 mat, 2,50 m</t>
  </si>
  <si>
    <t>SEVROLL Zaślepka do Maxim II RAL9003 matt-2,5 m</t>
  </si>
  <si>
    <t>SEV-Maxim tor 2,5 m RAL9003 mat</t>
  </si>
  <si>
    <t>SEV-Maxim listwa maskująca dolna, RAL900, 2,5 m</t>
  </si>
  <si>
    <t>SEV-Rączka Prosper II RAL9003 mat-2,70 m</t>
  </si>
  <si>
    <t>MSE-Łącznik H16-Decor sreb.-3m cena spe</t>
  </si>
  <si>
    <t>MSE-Łącznik H16-Dec.j.brąz-3m cena spec</t>
  </si>
  <si>
    <t>MSE-Łącznik H08/16 sreb.-3m cena specia</t>
  </si>
  <si>
    <t>MSE-Łącznik H08/16 j.brąz-3m cena specia</t>
  </si>
  <si>
    <t>SEVROLL zamówienie Hančák RAL 7015 matt</t>
  </si>
  <si>
    <t>SEVROLL wzorniki Plachá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</si>
  <si>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</si>
  <si>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</si>
  <si>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</si>
  <si>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</si>
  <si>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</si>
  <si>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</si>
  <si>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</si>
  <si>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</si>
  <si>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</si>
  <si>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</si>
  <si>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</si>
  <si>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Romeo II rączka 2,7m srebrny</t>
  </si>
  <si>
    <t>SEVROLL Rączka Lynx 2,7m oliwka</t>
  </si>
  <si>
    <t>SEVROLL Alfa II rączka 18mm 2,7m biały matowy</t>
  </si>
  <si>
    <t>SEVROLL Elegant II tor dolny 1,7m biały matowy</t>
  </si>
  <si>
    <t>SEVROLL Elegant II tor dolny 2,35m biały matowy</t>
  </si>
  <si>
    <t>SEVROLL Elegant II tor dolny 4,05m biały matowy</t>
  </si>
  <si>
    <t>SEVROLL Elegant II tor dolny 6m biały mat</t>
  </si>
  <si>
    <t>MSE-Klucz imbusowy SEVROLL</t>
  </si>
  <si>
    <t>SEVROLL Fox II rączka 2,7m czarny mat</t>
  </si>
  <si>
    <t>SEVROLL Single tor górny 6m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</si>
  <si>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</si>
  <si>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</si>
  <si>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</si>
  <si>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</si>
  <si>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</si>
  <si>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</si>
  <si>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</si>
  <si>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</si>
  <si>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</si>
  <si>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</si>
  <si>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</si>
  <si>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</si>
  <si>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</si>
  <si>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</si>
  <si>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</si>
  <si>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</si>
  <si>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</si>
  <si>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</si>
  <si>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</si>
  <si>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</si>
  <si>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</si>
  <si>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SEVROLL Eden listwa maskująca 1,1m srebrna</t>
  </si>
  <si>
    <t>SEVROLL wzorniki Kronomak</t>
  </si>
  <si>
    <t>V-SEVROLL Szpros S10 3m srebrny</t>
  </si>
  <si>
    <t>V-SEVROLL Szpros S20 3m srebrny</t>
  </si>
  <si>
    <t>SEVROLL ZR18 zestaw do drzwi rozwieranych</t>
  </si>
  <si>
    <t>SEVROLL Elegant tor dolny 1,7m RAL9003 matowy</t>
  </si>
  <si>
    <t>SEVROLL Single tor górny 1,7m RAL9003 matowy</t>
  </si>
  <si>
    <t>SEVROLL Smart tor dolny 1,7m RAL9003 matowy</t>
  </si>
  <si>
    <t>SEVROLL Libra rączka 18mm 2,70m RAL9003 matowy</t>
  </si>
  <si>
    <t>SEVROLL kątownik 17x11mm 3m RAL9010 matowy</t>
  </si>
  <si>
    <t>SEVROLL kątownik 17x11mm 2,35m RAL9003 matowy</t>
  </si>
  <si>
    <t>SEVROLL Alfa II rączka 18mm 2,70m RAL9010 matowy</t>
  </si>
  <si>
    <t>SEVROLL Single tor górny 3m RAL9003 matowy</t>
  </si>
  <si>
    <t>SEVROLL Smart tor dolny 3m RAL9003 matowy</t>
  </si>
  <si>
    <t>SEVROLL tor Simple/Blue 3m (do płyty laminowanej 18mm) RAL9003 matowy</t>
  </si>
  <si>
    <t>SEVROLL maskownica Simple/Blue 3m (do płyty laminowanej 18mm) RAL9003 matowy</t>
  </si>
  <si>
    <t>SEVROLL Simple tor górny 3m RAL9003 matowy</t>
  </si>
  <si>
    <t>SEVROLL Simple tor dolny 3m RAL9003 matowy</t>
  </si>
  <si>
    <t>SEVROLL zestaw okuć do Sevromatic Mini</t>
  </si>
  <si>
    <t>SEVROLL wzorniki Brno</t>
  </si>
  <si>
    <t>SEVROLL zestaw okuć ZSE-10</t>
  </si>
  <si>
    <t>SEVROLL naklejka Dożywotnia gwarancja duża CZ</t>
  </si>
  <si>
    <t>SEVROLL naklejka Dożywotnia gwarancja duża SK</t>
  </si>
  <si>
    <t>SEVROLL naklejka Dożywotnia gwarancja duża HU</t>
  </si>
  <si>
    <t>SEVROLL naklejka Dożywotnia gwarancja mała CZ</t>
  </si>
  <si>
    <t>SEVROLL naklejka Dożywotnia gwarancja mała SK</t>
  </si>
  <si>
    <t>SEVROLL naklejka Dożywotnia gwarancja mała HU</t>
  </si>
  <si>
    <t>Wzornik rączek 2017 zeszyt SPRZEDAŻ</t>
  </si>
  <si>
    <t>SEVROLL Tytan rączka 2,7m RAL7016 mat</t>
  </si>
  <si>
    <t>SEVROLL listwa łącząca H08/18 3m RAL7016 mat</t>
  </si>
  <si>
    <t>SEVROLL kątownik 17x11mm 3m czarny mat</t>
  </si>
  <si>
    <t>SEVROLL Gemini tor górny 3m czarny mat</t>
  </si>
  <si>
    <t>SEVROLL Elegant II tor dolny 3m czarny mat</t>
  </si>
  <si>
    <t>SEVROLL tor dolny Simple/Blue 1,5m (do płyty laminowanej 18mm) srebrny</t>
  </si>
  <si>
    <t>SEVROLL Alfa II rączka 18mm 2,7m czarny mat</t>
  </si>
  <si>
    <t>SEVROLL kątownik 17x11mm 3m RAL9005 matowy</t>
  </si>
  <si>
    <t>SEVROLL Gemini tor górny 3m RAL9005 matowy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</si>
  <si>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</si>
  <si>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</si>
  <si>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</si>
  <si>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</si>
  <si>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</si>
  <si>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</si>
  <si>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słup 3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</si>
  <si>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</si>
  <si>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</si>
  <si>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</si>
  <si>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</si>
  <si>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Linea zaślepka słupa</t>
  </si>
  <si>
    <t>SEVROLL Linea sada 8 sztkątowników mocujących</t>
  </si>
  <si>
    <t>SEVROLL Comfort tor górny 1,7m RAL9005 połysk</t>
  </si>
  <si>
    <t>SEVROLL Doubler II tor dolny 1,7 m RAL9005 połysk</t>
  </si>
  <si>
    <t>SEVROLL Doubler II maskownica 1,7m RAL9005 połysk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</si>
  <si>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</si>
  <si>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</si>
  <si>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</si>
  <si>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</si>
  <si>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Universal 18 rączka 2,7 m,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</si>
  <si>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</si>
  <si>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</si>
  <si>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</si>
  <si>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</si>
  <si>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</si>
  <si>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</si>
  <si>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</si>
  <si>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</si>
  <si>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</si>
  <si>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kątownik 17x11mm 1,7m jasny brąz new</t>
  </si>
  <si>
    <t>SEVROLL kątownik 17x11mm 2,35m jasny brąz new</t>
  </si>
  <si>
    <t>SEVROLL listwa łącząca "T" 3m jasny brąz new</t>
  </si>
  <si>
    <t>SEVROLL listwa pozioma dolna 3m 10mm jasny brąz new</t>
  </si>
  <si>
    <t>SEVROLL listwa pozioma dolna 2,35m 10mm jasny brąz new</t>
  </si>
  <si>
    <t>SEVROLL listwa pozioma dolna 1,7m 10mm jasny brąz new</t>
  </si>
  <si>
    <t>SEVROLL listwa pozioma górna 1,7m jasny brąz new</t>
  </si>
  <si>
    <t>SEVROLL listwa pozioma górna 2,35m jasny brąz new</t>
  </si>
  <si>
    <t>SEVROLL listwa pozioma górna 3m jasny brąz new</t>
  </si>
  <si>
    <t>SEVROLL listwa łącząca H10 3m jasny brąz new</t>
  </si>
  <si>
    <t>SEVROLL Focus 16mm rączka 2,7m jasny brąz new</t>
  </si>
  <si>
    <t>SEVROLL Tytan rączka 18 mm 2,7 m, jasny brąz new</t>
  </si>
  <si>
    <t>SEVROLL Comfort tor górny 2,35m jasny brąz new</t>
  </si>
  <si>
    <t>SEVROLL Comfort tor górny 3m jasny brąz new</t>
  </si>
  <si>
    <t>SEVROLL Comfort tor górny 4,05m jasny brąz new</t>
  </si>
  <si>
    <t>SEVROLL profil "U" do płyty laminowanej 18mm 3m jasny brąz new</t>
  </si>
  <si>
    <t>SEVROLL listwa łącząca H30 3 m, jasny brąz new</t>
  </si>
  <si>
    <t>SEVROLL Master rączka 2,7m jasny brąz new</t>
  </si>
  <si>
    <t>SEVROLL Master rączka 3m jasny brąz new</t>
  </si>
  <si>
    <t>SEVROLL kątownik K2 Decor 2,35m jasny brąz new</t>
  </si>
  <si>
    <t>SEVROLL kątownik K2 Decor 3m jasny brąz new</t>
  </si>
  <si>
    <t>SEVROLL listwa łącząca H18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</si>
  <si>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</si>
  <si>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</si>
  <si>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</si>
  <si>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</si>
  <si>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</si>
  <si>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</si>
  <si>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</si>
  <si>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Elegant II tor dolny 2,35m jasny brąz new</t>
  </si>
  <si>
    <t>SEVROLL Elegant II tor dolny 3m jasny brąz new</t>
  </si>
  <si>
    <t>SEVROLL Elegant II tor dolny 4,05m jasny brąz new</t>
  </si>
  <si>
    <t>SEVROLL profil "U" do płyty laminowanej 16mm 3m jasny brąz new</t>
  </si>
  <si>
    <t>SEVROLL listwa łącząca H04 3m jasny brąz new</t>
  </si>
  <si>
    <t>SEVROLL Gemini tor górny 6m jasny brąz new</t>
  </si>
  <si>
    <t>SEVROLL Szpros S20 3m jasny brąz new</t>
  </si>
  <si>
    <t>SEVROLL Szpros S10 3m jasny brąz new</t>
  </si>
  <si>
    <t>SEVROLL Julia II rączka 2,7m jasny brąz new</t>
  </si>
  <si>
    <t>SEVROLL Romeo II rączka 2,7m jasny brąz new</t>
  </si>
  <si>
    <t>SEVROLL Factor 18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</si>
  <si>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</si>
  <si>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</si>
  <si>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</si>
  <si>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</si>
  <si>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</si>
  <si>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</si>
  <si>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</si>
  <si>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Ergo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</si>
  <si>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</si>
  <si>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</si>
  <si>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</si>
  <si>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</si>
  <si>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</si>
  <si>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</si>
  <si>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</si>
  <si>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</si>
  <si>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</si>
  <si>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</si>
  <si>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</si>
  <si>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</si>
  <si>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</si>
  <si>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</si>
  <si>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</si>
  <si>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</si>
  <si>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</si>
  <si>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</si>
  <si>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</si>
  <si>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</si>
  <si>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</si>
  <si>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</si>
  <si>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</si>
  <si>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</si>
  <si>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</si>
  <si>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</si>
  <si>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</si>
  <si>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</si>
  <si>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</si>
  <si>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</si>
  <si>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</si>
  <si>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</si>
  <si>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Fala rączka 10mm 2,70m jasny brąz new</t>
  </si>
  <si>
    <t>SEVROLL Polo rączka 10mm 2,70m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</si>
  <si>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</si>
  <si>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</si>
  <si>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</si>
  <si>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</si>
  <si>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</si>
  <si>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</si>
  <si>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</si>
  <si>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</si>
  <si>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</si>
  <si>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</si>
  <si>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</si>
  <si>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</si>
  <si>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</si>
  <si>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</si>
  <si>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1,5m (do płyty lam. 18mm) jasny brąz new</t>
  </si>
  <si>
    <t>SEVROLL tor dolny Simple/Blue 2m (do płyty lam. 18mm)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</si>
  <si>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</si>
  <si>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</si>
  <si>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</si>
  <si>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</si>
  <si>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</si>
  <si>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</si>
  <si>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</si>
  <si>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</si>
  <si>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</si>
  <si>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</si>
  <si>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</si>
  <si>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</si>
  <si>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</si>
  <si>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</si>
  <si>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</si>
  <si>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</si>
  <si>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</si>
  <si>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</si>
  <si>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</si>
  <si>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</si>
  <si>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</si>
  <si>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</si>
  <si>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</si>
  <si>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zaślepka do toru Elegant II 2,35m jasny brąz new</t>
  </si>
  <si>
    <t>SEVROLL Elegant II tor dolny 1,7m jasny brąz new</t>
  </si>
  <si>
    <t>SEVROLL Rekord rączka 18mm 2,70m jasny brąz new</t>
  </si>
  <si>
    <t>SEVROLL zaślepka do toru Elegant II 3m jasny brąz new</t>
  </si>
  <si>
    <t>SEVROLL promocja HU</t>
  </si>
  <si>
    <t>SEVROLL forklejka Dożywotnia gwarancja duża CZ</t>
  </si>
  <si>
    <t>SEVROLL forklejka Dożywotnia gwarancja duża SK</t>
  </si>
  <si>
    <t>SEVROLL forklejka Dożywotnia gwarancja duża HU</t>
  </si>
  <si>
    <t>SEVROLL forklejka Dożywotnia gwarancja mała CZ</t>
  </si>
  <si>
    <t>SEVROLL forklejka Dożywotnia gwarancja mała SK</t>
  </si>
  <si>
    <t>SEVROLL forklejka Dożywotnia gwarancja mała HU</t>
  </si>
  <si>
    <t>SEVROLL Elegant II tor dolny 3m RAL9003 matowy</t>
  </si>
  <si>
    <t>SEVROLL Gemini tor górny 3m RAL9003 matowy</t>
  </si>
  <si>
    <t>SEVROLL U profile stalowy 6 m srebrny</t>
  </si>
  <si>
    <t>SEVROLL Gemini tor górny 3m RAL7005 matowy</t>
  </si>
  <si>
    <t>SEVROLL Elegant II tor dolny 3m RAL7005 matowy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</si>
  <si>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</si>
  <si>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</si>
  <si>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</si>
  <si>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</si>
  <si>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</si>
  <si>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Alfa II rączka 18mm 2,70m RAL9003 matowy</t>
  </si>
  <si>
    <t>SEVROLL kątownik K2 Decor 3m RAL9003 matowy</t>
  </si>
  <si>
    <t>SEVROLL listwa łącząca H18 3m RAL9003 matowy</t>
  </si>
  <si>
    <t>SEVROLL Fox II rączka 2,7 m RAL9010, matowa</t>
  </si>
  <si>
    <t>SEVROLL Gemini tor górny 3m RAL9010 matowy</t>
  </si>
  <si>
    <t>SEVROLL tor dolny 3m RAL9010 matowy</t>
  </si>
  <si>
    <t>SEVROLL maskownica dolna 3m RAL9010 matowy</t>
  </si>
  <si>
    <t>SEV-Zaślepka tor.Single z.stop.dol+gór(2</t>
  </si>
  <si>
    <t>SEVROLL Factor 18 II 2,70m RAL9003 matowy</t>
  </si>
  <si>
    <t>SEVROLL Fox II rączka 2,7m RAL9005 matowy</t>
  </si>
  <si>
    <t>SEVROLL Gemini tor górny 4,05m RAL9005 matowy</t>
  </si>
  <si>
    <t>SEVROLL tor dolny 3m RAL9005 matowy</t>
  </si>
  <si>
    <t>SEVROLL maskownica dolna 3m RAL9005 matowy</t>
  </si>
  <si>
    <t>SEVROLL listwa łącząca H10 3m RAL9005 matowy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</si>
  <si>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</si>
  <si>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</si>
  <si>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</si>
  <si>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</si>
  <si>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</si>
  <si>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</si>
  <si>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SEV-Tor górny Gemini-RAL8017 połysk 2,35 m</t>
  </si>
  <si>
    <t>SEVROLL Victoria II 18mm 2,7m RAL8017 połysk</t>
  </si>
  <si>
    <t>Sevroll Łącznik H18-Dec.RAL8017 polysk-3,00 m</t>
  </si>
  <si>
    <t>SEV-Tor górny Gemini 3 m, RAL9016 połysk</t>
  </si>
  <si>
    <t>SEVROLL Alfa II rączka 18 mm RAL9016 połysk</t>
  </si>
  <si>
    <t>Sevroll Łącznik H18-Dec.RAL9016 polysk-3,00 m</t>
  </si>
  <si>
    <t>SEV-Tor górny Gemini-RAL 7015 mat 4,05 m</t>
  </si>
  <si>
    <t>Sevroll ZAMOWIENIE Interia Znojmo RAL 9003 POLYSK</t>
  </si>
  <si>
    <t>SEVROLL ZR10 zestaw do drzwi rozwieranych</t>
  </si>
  <si>
    <t>MSE-Szczotka odbojowa z klejem, szara 6,7x13 mm</t>
  </si>
  <si>
    <t>MSE-Rączka Universal 16 GM 2,70 m, oliwa</t>
  </si>
  <si>
    <t>SEVROLL Gemini tor górny 2,35m RAL9001 matowy</t>
  </si>
  <si>
    <t>SEVROLL Alfa II rączka 18mm 2,70m RAL9001 matowy</t>
  </si>
  <si>
    <t>SEVROLL Wilson mocowanie drążka</t>
  </si>
  <si>
    <t>SEVROLL Wilson słup 2108mm srebrny</t>
  </si>
  <si>
    <t>SEVROLL Wilson wspornik 300mm srebrny</t>
  </si>
  <si>
    <t>SEVROLL Wilson wspornik 500mm srebrny</t>
  </si>
  <si>
    <t>SEVROLL Wilson drążek, średnica 25mm 1,2m srebrny</t>
  </si>
  <si>
    <t>SEVROLL WILSON zatrzask montaż. Srebrny</t>
  </si>
  <si>
    <t>SEVROLL Wilson záslepka do drążka</t>
  </si>
  <si>
    <t>Sevroll Sevroll ZAMOWIENIE HANUS RAL 9016 POLYSK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</si>
  <si>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</si>
  <si>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</si>
  <si>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</si>
  <si>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</si>
  <si>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</si>
  <si>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</si>
  <si>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ARCHIV</t>
  </si>
  <si>
    <t>Na objednávku</t>
  </si>
  <si>
    <t>Na zamówienie</t>
  </si>
  <si>
    <t>Rendelésre</t>
  </si>
  <si>
    <t>Lynx</t>
  </si>
  <si>
    <t>LYNX</t>
  </si>
  <si>
    <t>Vitara</t>
  </si>
  <si>
    <t>strieborná</t>
  </si>
  <si>
    <t>ver. 2022-07-01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</si>
</sst>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  <numFmt numFmtId="169" formatCode="##,###,###,###.00000"/>
    <numFmt numFmtId="170" formatCode="#,###,###.00000"/>
    <numFmt numFmtId="171" formatCode="#,##0.00000"/>
  </numFmts>
  <fonts count="97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indexed="12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sz val="18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16"/>
      <color rgb="FFFF0000"/>
      <name val="Arial"/>
      <family val="2"/>
      <charset val="238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1"/>
      <color theme="10"/>
      <name val="Arial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rgb="FFFDEADA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9">
    <xf numFmtId="0" fontId="0" fillId="0" borderId="0"/>
    <xf numFmtId="164" fontId="3" fillId="0" borderId="0"/>
    <xf numFmtId="164" fontId="1" fillId="0" borderId="0"/>
    <xf numFmtId="0" fontId="5" fillId="0" borderId="0"/>
    <xf numFmtId="0" fontId="3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44" fontId="2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164" fontId="3" fillId="0" borderId="0"/>
    <xf numFmtId="164" fontId="1" fillId="0" borderId="0"/>
    <xf numFmtId="44" fontId="14" fillId="0" borderId="0" applyFill="0" applyBorder="0" applyAlignment="0" applyProtection="0"/>
    <xf numFmtId="44" fontId="2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2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7" fillId="0" borderId="0"/>
    <xf numFmtId="0" fontId="87" fillId="0" borderId="0"/>
    <xf numFmtId="0" fontId="32" fillId="0" borderId="0"/>
  </cellStyleXfs>
  <cellXfs count="679">
    <xf numFmtId="0" fontId="0" fillId="0" borderId="0" xfId="0"/>
    <xf numFmtId="0" fontId="3" fillId="0" borderId="0" xfId="4"/>
    <xf numFmtId="0" fontId="3" fillId="0" borderId="0" xfId="4" applyAlignment="1">
      <alignment horizontal="center"/>
    </xf>
    <xf numFmtId="0" fontId="4" fillId="0" borderId="0" xfId="79" applyAlignment="1">
      <alignment horizontal="left"/>
    </xf>
    <xf numFmtId="0" fontId="6" fillId="0" borderId="0" xfId="4" applyFont="1" applyAlignment="1">
      <alignment horizontal="center"/>
    </xf>
    <xf numFmtId="0" fontId="4" fillId="0" borderId="0" xfId="79"/>
    <xf numFmtId="0" fontId="4" fillId="0" borderId="0" xfId="79" applyAlignment="1">
      <alignment horizontal="center"/>
    </xf>
    <xf numFmtId="0" fontId="8" fillId="0" borderId="0" xfId="79" applyFont="1" applyAlignment="1">
      <alignment horizontal="left" vertical="center" indent="1"/>
    </xf>
    <xf numFmtId="0" fontId="4" fillId="0" borderId="0" xfId="79" applyAlignment="1">
      <alignment horizontal="center" vertical="center"/>
    </xf>
    <xf numFmtId="0" fontId="9" fillId="0" borderId="0" xfId="79" applyFont="1" applyAlignment="1">
      <alignment horizontal="center" vertical="center"/>
    </xf>
    <xf numFmtId="0" fontId="10" fillId="0" borderId="0" xfId="79" applyFont="1" applyAlignment="1">
      <alignment horizontal="left" vertical="center" indent="1"/>
    </xf>
    <xf numFmtId="0" fontId="11" fillId="0" borderId="0" xfId="79" applyFont="1" applyAlignment="1">
      <alignment horizontal="left" vertical="center"/>
    </xf>
    <xf numFmtId="166" fontId="4" fillId="0" borderId="0" xfId="79" applyNumberFormat="1" applyAlignment="1">
      <alignment horizontal="center" vertical="center"/>
    </xf>
    <xf numFmtId="0" fontId="4" fillId="0" borderId="0" xfId="79" applyAlignment="1">
      <alignment horizontal="left" vertical="center"/>
    </xf>
    <xf numFmtId="0" fontId="10" fillId="2" borderId="0" xfId="79" applyFont="1" applyFill="1" applyAlignment="1">
      <alignment horizontal="left" vertical="center" indent="1"/>
    </xf>
    <xf numFmtId="1" fontId="4" fillId="0" borderId="0" xfId="79" applyNumberFormat="1" applyAlignment="1">
      <alignment horizontal="center" vertical="center"/>
    </xf>
    <xf numFmtId="1" fontId="4" fillId="0" borderId="0" xfId="79" applyNumberFormat="1" applyAlignment="1" applyProtection="1">
      <alignment horizontal="center" vertical="center"/>
      <protection hidden="1"/>
    </xf>
    <xf numFmtId="0" fontId="4" fillId="0" borderId="0" xfId="79" applyAlignment="1" applyProtection="1">
      <alignment horizontal="center" vertical="center"/>
      <protection hidden="1"/>
    </xf>
    <xf numFmtId="0" fontId="15" fillId="0" borderId="0" xfId="79" applyFont="1" applyAlignment="1">
      <alignment horizontal="center"/>
    </xf>
    <xf numFmtId="0" fontId="13" fillId="0" borderId="0" xfId="79" applyFont="1" applyAlignment="1" applyProtection="1">
      <alignment horizontal="center" vertical="center"/>
      <protection hidden="1"/>
    </xf>
    <xf numFmtId="0" fontId="15" fillId="0" borderId="0" xfId="79" applyFont="1" applyAlignment="1" applyProtection="1">
      <alignment horizontal="center"/>
      <protection hidden="1"/>
    </xf>
    <xf numFmtId="0" fontId="4" fillId="0" borderId="0" xfId="79" applyProtection="1">
      <protection hidden="1"/>
    </xf>
    <xf numFmtId="0" fontId="4" fillId="3" borderId="1" xfId="79" applyFill="1" applyBorder="1" applyAlignment="1" applyProtection="1">
      <alignment horizontal="center" vertical="center"/>
      <protection locked="0"/>
    </xf>
    <xf numFmtId="0" fontId="4" fillId="0" borderId="0" xfId="79" applyAlignment="1" applyProtection="1">
      <alignment horizontal="left"/>
      <protection hidden="1"/>
    </xf>
    <xf numFmtId="0" fontId="4" fillId="0" borderId="0" xfId="79" applyAlignment="1" applyProtection="1">
      <alignment horizontal="center"/>
      <protection hidden="1"/>
    </xf>
    <xf numFmtId="1" fontId="17" fillId="0" borderId="0" xfId="79" applyNumberFormat="1" applyFont="1" applyAlignment="1" applyProtection="1">
      <alignment horizontal="left" vertical="center"/>
      <protection hidden="1"/>
    </xf>
    <xf numFmtId="0" fontId="16" fillId="0" borderId="0" xfId="79" applyFont="1" applyAlignment="1">
      <alignment horizontal="center" vertical="center"/>
    </xf>
    <xf numFmtId="0" fontId="19" fillId="0" borderId="0" xfId="79" applyFont="1" applyAlignment="1">
      <alignment horizontal="center" vertical="center"/>
    </xf>
    <xf numFmtId="0" fontId="22" fillId="0" borderId="0" xfId="79" applyFont="1" applyAlignment="1">
      <alignment horizontal="left"/>
    </xf>
    <xf numFmtId="0" fontId="4" fillId="4" borderId="2" xfId="79" applyFill="1" applyBorder="1" applyAlignment="1" applyProtection="1">
      <alignment horizontal="center"/>
      <protection locked="0"/>
    </xf>
    <xf numFmtId="0" fontId="4" fillId="4" borderId="2" xfId="79" applyFill="1" applyBorder="1" applyAlignment="1" applyProtection="1">
      <alignment horizontal="center" vertical="center"/>
      <protection locked="0"/>
    </xf>
    <xf numFmtId="0" fontId="23" fillId="5" borderId="0" xfId="0" applyFont="1" applyFill="1" applyAlignment="1">
      <alignment horizontal="left"/>
    </xf>
    <xf numFmtId="0" fontId="23" fillId="5" borderId="3" xfId="0" applyFont="1" applyFill="1" applyBorder="1" applyAlignment="1">
      <alignment horizontal="left"/>
    </xf>
    <xf numFmtId="0" fontId="23" fillId="5" borderId="4" xfId="0" applyFont="1" applyFill="1" applyBorder="1" applyAlignment="1">
      <alignment horizontal="left"/>
    </xf>
    <xf numFmtId="0" fontId="23" fillId="5" borderId="5" xfId="0" applyFont="1" applyFill="1" applyBorder="1" applyAlignment="1">
      <alignment horizontal="left"/>
    </xf>
    <xf numFmtId="166" fontId="4" fillId="0" borderId="0" xfId="79" applyNumberFormat="1" applyAlignment="1">
      <alignment horizontal="center"/>
    </xf>
    <xf numFmtId="0" fontId="4" fillId="8" borderId="0" xfId="79" applyFill="1"/>
    <xf numFmtId="0" fontId="4" fillId="8" borderId="0" xfId="79" applyFill="1" applyAlignment="1">
      <alignment horizontal="center"/>
    </xf>
    <xf numFmtId="0" fontId="17" fillId="0" borderId="0" xfId="79" applyFont="1"/>
    <xf numFmtId="0" fontId="19" fillId="0" borderId="0" xfId="79" applyFont="1" applyAlignment="1">
      <alignment horizontal="center"/>
    </xf>
    <xf numFmtId="0" fontId="4" fillId="0" borderId="0" xfId="79" applyAlignment="1">
      <alignment horizontal="right"/>
    </xf>
    <xf numFmtId="0" fontId="8" fillId="9" borderId="0" xfId="79" applyFont="1" applyFill="1" applyAlignment="1">
      <alignment horizontal="left" vertical="center" indent="1"/>
    </xf>
    <xf numFmtId="0" fontId="4" fillId="9" borderId="0" xfId="79" applyFill="1" applyAlignment="1" applyProtection="1">
      <alignment horizontal="center" vertical="center"/>
      <protection hidden="1"/>
    </xf>
    <xf numFmtId="1" fontId="17" fillId="9" borderId="0" xfId="79" applyNumberFormat="1" applyFont="1" applyFill="1" applyAlignment="1" applyProtection="1">
      <alignment horizontal="left" vertical="center"/>
      <protection hidden="1"/>
    </xf>
    <xf numFmtId="0" fontId="4" fillId="9" borderId="0" xfId="79" applyFill="1" applyAlignment="1" applyProtection="1">
      <alignment horizontal="center" vertical="center"/>
      <protection locked="0"/>
    </xf>
    <xf numFmtId="0" fontId="4" fillId="9" borderId="2" xfId="79" applyFill="1" applyBorder="1" applyAlignment="1" applyProtection="1">
      <alignment horizontal="center" vertical="center"/>
      <protection locked="0"/>
    </xf>
    <xf numFmtId="0" fontId="4" fillId="9" borderId="0" xfId="79" applyFill="1"/>
    <xf numFmtId="0" fontId="24" fillId="9" borderId="0" xfId="79" applyFont="1" applyFill="1" applyAlignment="1">
      <alignment horizontal="right"/>
    </xf>
    <xf numFmtId="0" fontId="19" fillId="9" borderId="0" xfId="79" applyFont="1" applyFill="1"/>
    <xf numFmtId="0" fontId="40" fillId="0" borderId="0" xfId="79" applyFont="1" applyAlignment="1">
      <alignment horizontal="center"/>
    </xf>
    <xf numFmtId="0" fontId="41" fillId="0" borderId="0" xfId="79" applyFont="1" applyAlignment="1">
      <alignment horizontal="left" vertical="center"/>
    </xf>
    <xf numFmtId="0" fontId="41" fillId="0" borderId="0" xfId="79" applyFont="1" applyAlignment="1">
      <alignment horizontal="left"/>
    </xf>
    <xf numFmtId="0" fontId="3" fillId="0" borderId="2" xfId="4" applyBorder="1"/>
    <xf numFmtId="0" fontId="3" fillId="0" borderId="2" xfId="4" applyBorder="1" applyAlignment="1">
      <alignment horizontal="center"/>
    </xf>
    <xf numFmtId="0" fontId="4" fillId="0" borderId="0" xfId="79" applyAlignment="1">
      <alignment horizontal="left" vertical="center" indent="1"/>
    </xf>
    <xf numFmtId="0" fontId="6" fillId="0" borderId="0" xfId="4" applyFont="1"/>
    <xf numFmtId="3" fontId="4" fillId="3" borderId="1" xfId="79" applyNumberFormat="1" applyFill="1" applyBorder="1" applyAlignment="1" applyProtection="1">
      <alignment horizontal="center" vertical="center"/>
      <protection locked="0"/>
    </xf>
    <xf numFmtId="3" fontId="4" fillId="0" borderId="1" xfId="79" applyNumberFormat="1" applyBorder="1" applyAlignment="1" applyProtection="1">
      <alignment horizontal="center" vertical="center"/>
      <protection hidden="1"/>
    </xf>
    <xf numFmtId="3" fontId="4" fillId="0" borderId="0" xfId="79" applyNumberFormat="1" applyAlignment="1">
      <alignment horizontal="center" vertical="center"/>
    </xf>
    <xf numFmtId="167" fontId="4" fillId="0" borderId="1" xfId="79" applyNumberFormat="1" applyBorder="1" applyAlignment="1" applyProtection="1">
      <alignment horizontal="center" vertical="center"/>
      <protection hidden="1"/>
    </xf>
    <xf numFmtId="167" fontId="4" fillId="8" borderId="1" xfId="79" applyNumberFormat="1" applyFill="1" applyBorder="1" applyAlignment="1" applyProtection="1">
      <alignment horizontal="center" vertical="center"/>
      <protection hidden="1"/>
    </xf>
    <xf numFmtId="3" fontId="4" fillId="0" borderId="9" xfId="79" applyNumberFormat="1" applyBorder="1" applyAlignment="1" applyProtection="1">
      <alignment horizontal="center" vertical="center"/>
      <protection hidden="1"/>
    </xf>
    <xf numFmtId="0" fontId="3" fillId="0" borderId="11" xfId="4" applyBorder="1"/>
    <xf numFmtId="0" fontId="37" fillId="0" borderId="0" xfId="58" applyAlignment="1">
      <alignment horizontal="center"/>
    </xf>
    <xf numFmtId="0" fontId="26" fillId="0" borderId="0" xfId="79" applyFont="1" applyAlignment="1">
      <alignment horizontal="left" vertical="center" indent="1"/>
    </xf>
    <xf numFmtId="3" fontId="4" fillId="0" borderId="0" xfId="79" applyNumberFormat="1" applyAlignment="1" applyProtection="1">
      <alignment horizontal="center" vertical="center"/>
      <protection hidden="1"/>
    </xf>
    <xf numFmtId="167" fontId="4" fillId="10" borderId="1" xfId="79" applyNumberFormat="1" applyFill="1" applyBorder="1" applyAlignment="1" applyProtection="1">
      <alignment horizontal="center" vertical="center"/>
      <protection hidden="1"/>
    </xf>
    <xf numFmtId="167" fontId="4" fillId="10" borderId="0" xfId="79" applyNumberFormat="1" applyFill="1" applyAlignment="1" applyProtection="1">
      <alignment horizontal="center" vertical="center"/>
      <protection hidden="1"/>
    </xf>
    <xf numFmtId="3" fontId="4" fillId="0" borderId="2" xfId="79" applyNumberFormat="1" applyBorder="1" applyAlignment="1" applyProtection="1">
      <alignment horizontal="center" vertical="center"/>
      <protection hidden="1"/>
    </xf>
    <xf numFmtId="167" fontId="4" fillId="0" borderId="2" xfId="79" applyNumberFormat="1" applyBorder="1" applyAlignment="1" applyProtection="1">
      <alignment horizontal="center" vertical="center"/>
      <protection hidden="1"/>
    </xf>
    <xf numFmtId="3" fontId="4" fillId="10" borderId="0" xfId="79" applyNumberFormat="1" applyFill="1" applyAlignment="1" applyProtection="1">
      <alignment horizontal="center" vertical="center"/>
      <protection hidden="1"/>
    </xf>
    <xf numFmtId="3" fontId="4" fillId="10" borderId="12" xfId="79" applyNumberFormat="1" applyFill="1" applyBorder="1" applyAlignment="1" applyProtection="1">
      <alignment horizontal="center" vertical="center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center" indent="1"/>
    </xf>
    <xf numFmtId="0" fontId="24" fillId="0" borderId="0" xfId="79" applyFont="1" applyAlignment="1">
      <alignment horizontal="right"/>
    </xf>
    <xf numFmtId="0" fontId="17" fillId="0" borderId="0" xfId="79" applyFont="1" applyAlignment="1">
      <alignment horizontal="left" indent="1"/>
    </xf>
    <xf numFmtId="0" fontId="8" fillId="0" borderId="0" xfId="79" applyFont="1" applyAlignment="1">
      <alignment horizontal="right" vertical="center" indent="1"/>
    </xf>
    <xf numFmtId="0" fontId="10" fillId="9" borderId="0" xfId="79" applyFont="1" applyFill="1" applyAlignment="1">
      <alignment horizontal="left" vertical="center" indent="1"/>
    </xf>
    <xf numFmtId="0" fontId="20" fillId="9" borderId="0" xfId="79" applyFont="1" applyFill="1" applyAlignment="1">
      <alignment horizontal="left" vertical="center" indent="1"/>
    </xf>
    <xf numFmtId="0" fontId="20" fillId="9" borderId="0" xfId="79" applyFont="1" applyFill="1"/>
    <xf numFmtId="0" fontId="20" fillId="9" borderId="0" xfId="79" applyFont="1" applyFill="1" applyAlignment="1">
      <alignment horizontal="center"/>
    </xf>
    <xf numFmtId="0" fontId="27" fillId="0" borderId="0" xfId="79" applyFont="1" applyAlignment="1">
      <alignment horizontal="left" vertical="center" indent="1"/>
    </xf>
    <xf numFmtId="0" fontId="15" fillId="0" borderId="0" xfId="79" applyFont="1" applyAlignment="1">
      <alignment horizontal="center" vertical="center"/>
    </xf>
    <xf numFmtId="0" fontId="15" fillId="0" borderId="0" xfId="79" applyFont="1"/>
    <xf numFmtId="0" fontId="15" fillId="0" borderId="0" xfId="79" applyFont="1" applyAlignment="1" applyProtection="1">
      <alignment horizontal="center"/>
      <protection locked="0"/>
    </xf>
    <xf numFmtId="0" fontId="28" fillId="0" borderId="0" xfId="79" applyFont="1" applyAlignment="1">
      <alignment horizontal="left"/>
    </xf>
    <xf numFmtId="167" fontId="4" fillId="0" borderId="0" xfId="79" applyNumberFormat="1" applyAlignment="1" applyProtection="1">
      <alignment horizontal="center" vertical="center"/>
      <protection hidden="1"/>
    </xf>
    <xf numFmtId="167" fontId="4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4" fillId="0" borderId="0" xfId="1" applyNumberFormat="1" applyFont="1" applyAlignment="1" applyProtection="1">
      <alignment horizontal="right" vertical="center"/>
      <protection hidden="1"/>
    </xf>
    <xf numFmtId="4" fontId="14" fillId="0" borderId="0" xfId="7" applyNumberFormat="1" applyFont="1" applyBorder="1" applyAlignment="1" applyProtection="1">
      <alignment horizontal="right"/>
      <protection hidden="1"/>
    </xf>
    <xf numFmtId="4" fontId="14" fillId="0" borderId="0" xfId="7" applyNumberFormat="1" applyFont="1" applyAlignment="1">
      <alignment horizontal="right"/>
    </xf>
    <xf numFmtId="4" fontId="4" fillId="0" borderId="0" xfId="79" applyNumberFormat="1" applyAlignment="1">
      <alignment horizontal="right"/>
    </xf>
    <xf numFmtId="4" fontId="4" fillId="0" borderId="0" xfId="1" applyNumberFormat="1" applyFont="1" applyAlignment="1">
      <alignment horizontal="right" vertical="center"/>
    </xf>
    <xf numFmtId="4" fontId="4" fillId="0" borderId="0" xfId="79" applyNumberFormat="1" applyAlignment="1" applyProtection="1">
      <alignment horizontal="right" vertical="center"/>
      <protection hidden="1"/>
    </xf>
    <xf numFmtId="4" fontId="4" fillId="9" borderId="0" xfId="1" applyNumberFormat="1" applyFont="1" applyFill="1" applyAlignment="1" applyProtection="1">
      <alignment horizontal="right" vertical="center"/>
      <protection hidden="1"/>
    </xf>
    <xf numFmtId="4" fontId="14" fillId="9" borderId="0" xfId="7" applyNumberFormat="1" applyFont="1" applyFill="1" applyBorder="1" applyAlignment="1" applyProtection="1">
      <alignment horizontal="right"/>
      <protection hidden="1"/>
    </xf>
    <xf numFmtId="4" fontId="4" fillId="9" borderId="0" xfId="79" applyNumberFormat="1" applyFill="1" applyAlignment="1">
      <alignment horizontal="right"/>
    </xf>
    <xf numFmtId="4" fontId="9" fillId="9" borderId="13" xfId="79" applyNumberFormat="1" applyFont="1" applyFill="1" applyBorder="1" applyAlignment="1" applyProtection="1">
      <alignment horizontal="right" vertical="center"/>
      <protection hidden="1"/>
    </xf>
    <xf numFmtId="4" fontId="9" fillId="9" borderId="14" xfId="79" applyNumberFormat="1" applyFont="1" applyFill="1" applyBorder="1" applyAlignment="1" applyProtection="1">
      <alignment horizontal="right" vertical="center"/>
      <protection hidden="1"/>
    </xf>
    <xf numFmtId="4" fontId="4" fillId="0" borderId="0" xfId="79" applyNumberFormat="1" applyAlignment="1">
      <alignment vertical="center"/>
    </xf>
    <xf numFmtId="4" fontId="4" fillId="0" borderId="0" xfId="1" applyNumberFormat="1" applyFont="1" applyAlignment="1" applyProtection="1">
      <alignment horizontal="left" vertical="center"/>
      <protection hidden="1"/>
    </xf>
    <xf numFmtId="4" fontId="14" fillId="0" borderId="0" xfId="7" applyNumberFormat="1" applyFont="1" applyBorder="1" applyAlignment="1" applyProtection="1">
      <protection hidden="1"/>
    </xf>
    <xf numFmtId="4" fontId="4" fillId="0" borderId="0" xfId="1" applyNumberFormat="1" applyFont="1" applyAlignment="1" applyProtection="1">
      <alignment vertical="center"/>
      <protection hidden="1"/>
    </xf>
    <xf numFmtId="4" fontId="4" fillId="9" borderId="0" xfId="79" applyNumberFormat="1" applyFill="1"/>
    <xf numFmtId="4" fontId="7" fillId="9" borderId="14" xfId="7" applyNumberFormat="1" applyFont="1" applyFill="1" applyBorder="1" applyAlignment="1"/>
    <xf numFmtId="4" fontId="4" fillId="9" borderId="0" xfId="1" applyNumberFormat="1" applyFont="1" applyFill="1" applyAlignment="1" applyProtection="1">
      <alignment vertical="center"/>
      <protection hidden="1"/>
    </xf>
    <xf numFmtId="4" fontId="9" fillId="9" borderId="14" xfId="79" applyNumberFormat="1" applyFont="1" applyFill="1" applyBorder="1" applyAlignment="1" applyProtection="1">
      <alignment vertical="center"/>
      <protection hidden="1"/>
    </xf>
    <xf numFmtId="4" fontId="7" fillId="9" borderId="14" xfId="7" applyNumberFormat="1" applyFont="1" applyFill="1" applyBorder="1" applyAlignment="1" applyProtection="1">
      <protection hidden="1"/>
    </xf>
    <xf numFmtId="4" fontId="7" fillId="9" borderId="14" xfId="7" applyNumberFormat="1" applyFont="1" applyFill="1" applyBorder="1" applyAlignment="1">
      <alignment horizontal="right"/>
    </xf>
    <xf numFmtId="4" fontId="7" fillId="9" borderId="14" xfId="7" applyNumberFormat="1" applyFont="1" applyFill="1" applyBorder="1" applyAlignment="1" applyProtection="1">
      <alignment horizontal="right"/>
      <protection hidden="1"/>
    </xf>
    <xf numFmtId="4" fontId="7" fillId="9" borderId="2" xfId="7" applyNumberFormat="1" applyFont="1" applyFill="1" applyBorder="1" applyAlignment="1">
      <alignment horizontal="right"/>
    </xf>
    <xf numFmtId="4" fontId="9" fillId="9" borderId="0" xfId="1" applyNumberFormat="1" applyFont="1" applyFill="1" applyAlignment="1" applyProtection="1">
      <alignment horizontal="right" vertical="center"/>
      <protection hidden="1"/>
    </xf>
    <xf numFmtId="4" fontId="20" fillId="9" borderId="0" xfId="79" applyNumberFormat="1" applyFont="1" applyFill="1" applyAlignment="1">
      <alignment horizontal="right"/>
    </xf>
    <xf numFmtId="4" fontId="20" fillId="9" borderId="2" xfId="79" applyNumberFormat="1" applyFont="1" applyFill="1" applyBorder="1" applyAlignment="1">
      <alignment horizontal="right"/>
    </xf>
    <xf numFmtId="4" fontId="9" fillId="9" borderId="0" xfId="79" applyNumberFormat="1" applyFont="1" applyFill="1" applyAlignment="1" applyProtection="1">
      <alignment horizontal="right" vertical="center"/>
      <protection hidden="1"/>
    </xf>
    <xf numFmtId="4" fontId="7" fillId="9" borderId="0" xfId="7" applyNumberFormat="1" applyFont="1" applyFill="1" applyBorder="1" applyAlignment="1" applyProtection="1">
      <alignment horizontal="right"/>
      <protection hidden="1"/>
    </xf>
    <xf numFmtId="0" fontId="19" fillId="0" borderId="0" xfId="79" applyFont="1" applyAlignment="1" applyProtection="1">
      <alignment horizontal="center" vertical="center"/>
      <protection hidden="1"/>
    </xf>
    <xf numFmtId="0" fontId="19" fillId="11" borderId="2" xfId="79" applyFont="1" applyFill="1" applyBorder="1" applyAlignment="1">
      <alignment horizontal="center"/>
    </xf>
    <xf numFmtId="1" fontId="19" fillId="0" borderId="0" xfId="79" applyNumberFormat="1" applyFont="1" applyAlignment="1" applyProtection="1">
      <alignment horizontal="center" vertical="center"/>
      <protection hidden="1"/>
    </xf>
    <xf numFmtId="1" fontId="24" fillId="0" borderId="0" xfId="79" applyNumberFormat="1" applyFont="1" applyAlignment="1" applyProtection="1">
      <alignment horizontal="left" vertical="center"/>
      <protection hidden="1"/>
    </xf>
    <xf numFmtId="1" fontId="9" fillId="0" borderId="0" xfId="79" applyNumberFormat="1" applyFont="1" applyAlignment="1" applyProtection="1">
      <alignment horizontal="center" vertical="center"/>
      <protection hidden="1"/>
    </xf>
    <xf numFmtId="1" fontId="29" fillId="0" borderId="0" xfId="79" applyNumberFormat="1" applyFont="1" applyAlignment="1" applyProtection="1">
      <alignment horizontal="left" vertical="center"/>
      <protection hidden="1"/>
    </xf>
    <xf numFmtId="4" fontId="9" fillId="0" borderId="0" xfId="1" applyNumberFormat="1" applyFont="1" applyAlignment="1" applyProtection="1">
      <alignment vertical="center"/>
      <protection hidden="1"/>
    </xf>
    <xf numFmtId="4" fontId="7" fillId="0" borderId="0" xfId="7" applyNumberFormat="1" applyFont="1" applyBorder="1" applyAlignment="1" applyProtection="1">
      <protection hidden="1"/>
    </xf>
    <xf numFmtId="0" fontId="9" fillId="0" borderId="0" xfId="79" applyFont="1" applyAlignment="1">
      <alignment horizontal="center"/>
    </xf>
    <xf numFmtId="0" fontId="9" fillId="0" borderId="0" xfId="79" applyFont="1"/>
    <xf numFmtId="0" fontId="19" fillId="0" borderId="0" xfId="79" applyFont="1"/>
    <xf numFmtId="0" fontId="16" fillId="0" borderId="0" xfId="79" applyFont="1" applyAlignment="1">
      <alignment horizontal="center"/>
    </xf>
    <xf numFmtId="0" fontId="20" fillId="8" borderId="0" xfId="79" applyFont="1" applyFill="1" applyAlignment="1">
      <alignment horizontal="left" vertical="center" indent="1"/>
    </xf>
    <xf numFmtId="4" fontId="9" fillId="0" borderId="0" xfId="1" applyNumberFormat="1" applyFont="1" applyAlignment="1" applyProtection="1">
      <alignment horizontal="right" vertical="center"/>
      <protection hidden="1"/>
    </xf>
    <xf numFmtId="4" fontId="7" fillId="0" borderId="0" xfId="7" applyNumberFormat="1" applyFont="1" applyBorder="1" applyAlignment="1" applyProtection="1">
      <alignment horizontal="right"/>
      <protection hidden="1"/>
    </xf>
    <xf numFmtId="0" fontId="42" fillId="0" borderId="0" xfId="79" applyFont="1" applyAlignment="1">
      <alignment horizontal="center"/>
    </xf>
    <xf numFmtId="0" fontId="40" fillId="0" borderId="0" xfId="79" applyFont="1"/>
    <xf numFmtId="167" fontId="4" fillId="0" borderId="15" xfId="79" applyNumberFormat="1" applyBorder="1" applyAlignment="1" applyProtection="1">
      <alignment horizontal="center" vertical="center"/>
      <protection hidden="1"/>
    </xf>
    <xf numFmtId="167" fontId="4" fillId="0" borderId="16" xfId="79" applyNumberFormat="1" applyBorder="1" applyAlignment="1" applyProtection="1">
      <alignment horizontal="center" vertical="center"/>
      <protection hidden="1"/>
    </xf>
    <xf numFmtId="0" fontId="31" fillId="0" borderId="0" xfId="4" applyFont="1"/>
    <xf numFmtId="0" fontId="44" fillId="0" borderId="0" xfId="4" applyFont="1" applyAlignment="1">
      <alignment horizontal="right"/>
    </xf>
    <xf numFmtId="0" fontId="0" fillId="0" borderId="0" xfId="0" applyAlignment="1">
      <alignment horizontal="left"/>
    </xf>
    <xf numFmtId="0" fontId="19" fillId="4" borderId="2" xfId="79" applyFont="1" applyFill="1" applyBorder="1" applyAlignment="1">
      <alignment horizontal="center"/>
    </xf>
    <xf numFmtId="0" fontId="19" fillId="4" borderId="2" xfId="79" applyFont="1" applyFill="1" applyBorder="1" applyAlignment="1" applyProtection="1">
      <alignment horizontal="center"/>
      <protection hidden="1"/>
    </xf>
    <xf numFmtId="0" fontId="19" fillId="11" borderId="2" xfId="79" applyFont="1" applyFill="1" applyBorder="1" applyAlignment="1" applyProtection="1">
      <alignment horizontal="center"/>
      <protection hidden="1"/>
    </xf>
    <xf numFmtId="3" fontId="4" fillId="9" borderId="0" xfId="79" applyNumberFormat="1" applyFill="1" applyAlignment="1">
      <alignment horizontal="center" vertical="center"/>
    </xf>
    <xf numFmtId="0" fontId="45" fillId="0" borderId="0" xfId="0" applyFont="1" applyAlignment="1">
      <alignment horizontal="left" vertical="top" indent="1"/>
    </xf>
    <xf numFmtId="0" fontId="20" fillId="0" borderId="0" xfId="79" applyFont="1" applyAlignment="1">
      <alignment horizontal="left" vertical="center" indent="1"/>
    </xf>
    <xf numFmtId="0" fontId="46" fillId="0" borderId="0" xfId="0" applyFont="1"/>
    <xf numFmtId="0" fontId="46" fillId="0" borderId="0" xfId="79" applyFont="1"/>
    <xf numFmtId="0" fontId="46" fillId="0" borderId="0" xfId="79" applyFont="1" applyProtection="1">
      <protection hidden="1"/>
    </xf>
    <xf numFmtId="0" fontId="46" fillId="0" borderId="0" xfId="47" applyFont="1"/>
    <xf numFmtId="0" fontId="46" fillId="0" borderId="0" xfId="4" applyFont="1"/>
    <xf numFmtId="0" fontId="46" fillId="0" borderId="0" xfId="0" applyFont="1" applyProtection="1">
      <protection locked="0"/>
    </xf>
    <xf numFmtId="0" fontId="34" fillId="0" borderId="0" xfId="4" applyFont="1"/>
    <xf numFmtId="166" fontId="4" fillId="0" borderId="0" xfId="79" quotePrefix="1" applyNumberFormat="1" applyAlignment="1">
      <alignment horizontal="center" vertical="center"/>
    </xf>
    <xf numFmtId="0" fontId="1" fillId="0" borderId="0" xfId="4" applyFont="1"/>
    <xf numFmtId="0" fontId="1" fillId="0" borderId="0" xfId="4" quotePrefix="1" applyFont="1"/>
    <xf numFmtId="0" fontId="37" fillId="0" borderId="0" xfId="57"/>
    <xf numFmtId="0" fontId="37" fillId="0" borderId="0" xfId="59"/>
    <xf numFmtId="0" fontId="37" fillId="0" borderId="0" xfId="61"/>
    <xf numFmtId="0" fontId="37" fillId="0" borderId="0" xfId="71"/>
    <xf numFmtId="167" fontId="4" fillId="0" borderId="0" xfId="79" applyNumberFormat="1" applyAlignment="1">
      <alignment horizontal="center"/>
    </xf>
    <xf numFmtId="1" fontId="4" fillId="0" borderId="0" xfId="79" applyNumberFormat="1"/>
    <xf numFmtId="167" fontId="4" fillId="0" borderId="0" xfId="79" applyNumberFormat="1"/>
    <xf numFmtId="3" fontId="4" fillId="0" borderId="0" xfId="79" applyNumberFormat="1"/>
    <xf numFmtId="0" fontId="4" fillId="0" borderId="10" xfId="79" applyBorder="1"/>
    <xf numFmtId="0" fontId="4" fillId="0" borderId="0" xfId="79" quotePrefix="1"/>
    <xf numFmtId="0" fontId="4" fillId="0" borderId="0" xfId="79" applyAlignment="1">
      <alignment wrapText="1"/>
    </xf>
    <xf numFmtId="167" fontId="4" fillId="0" borderId="0" xfId="79" applyNumberFormat="1" applyAlignment="1" applyProtection="1">
      <alignment horizontal="left" vertical="center"/>
      <protection hidden="1"/>
    </xf>
    <xf numFmtId="0" fontId="1" fillId="0" borderId="0" xfId="5"/>
    <xf numFmtId="0" fontId="32" fillId="0" borderId="0" xfId="0" applyFont="1" applyAlignment="1">
      <alignment horizontal="center"/>
    </xf>
    <xf numFmtId="0" fontId="35" fillId="0" borderId="0" xfId="0" applyFont="1"/>
    <xf numFmtId="0" fontId="49" fillId="0" borderId="0" xfId="79" applyFont="1" applyAlignment="1">
      <alignment horizontal="left" vertical="center" indent="1"/>
    </xf>
    <xf numFmtId="167" fontId="42" fillId="0" borderId="0" xfId="79" applyNumberFormat="1" applyFont="1" applyAlignment="1" applyProtection="1">
      <alignment horizontal="center" vertical="center"/>
      <protection hidden="1"/>
    </xf>
    <xf numFmtId="167" fontId="42" fillId="0" borderId="16" xfId="79" applyNumberFormat="1" applyFont="1" applyBorder="1" applyAlignment="1" applyProtection="1">
      <alignment horizontal="left" vertical="center"/>
      <protection hidden="1"/>
    </xf>
    <xf numFmtId="0" fontId="7" fillId="0" borderId="0" xfId="0" applyFont="1" applyAlignment="1">
      <alignment wrapText="1"/>
    </xf>
    <xf numFmtId="0" fontId="7" fillId="0" borderId="17" xfId="0" applyFont="1" applyBorder="1"/>
    <xf numFmtId="0" fontId="0" fillId="0" borderId="18" xfId="0" applyBorder="1"/>
    <xf numFmtId="4" fontId="7" fillId="0" borderId="19" xfId="0" applyNumberFormat="1" applyFont="1" applyBorder="1"/>
    <xf numFmtId="0" fontId="48" fillId="0" borderId="0" xfId="6" applyFont="1" applyBorder="1" applyAlignment="1" applyProtection="1">
      <alignment horizontal="center"/>
    </xf>
    <xf numFmtId="0" fontId="1" fillId="0" borderId="2" xfId="4" applyFont="1" applyBorder="1"/>
    <xf numFmtId="0" fontId="1" fillId="13" borderId="2" xfId="4" applyFont="1" applyFill="1" applyBorder="1"/>
    <xf numFmtId="0" fontId="3" fillId="13" borderId="2" xfId="4" applyFill="1" applyBorder="1"/>
    <xf numFmtId="0" fontId="3" fillId="0" borderId="10" xfId="4" applyBorder="1" applyAlignment="1">
      <alignment horizontal="left"/>
    </xf>
    <xf numFmtId="0" fontId="3" fillId="0" borderId="0" xfId="4" applyAlignment="1">
      <alignment horizontal="left"/>
    </xf>
    <xf numFmtId="0" fontId="4" fillId="0" borderId="0" xfId="79" applyAlignment="1" applyProtection="1">
      <alignment horizontal="center"/>
      <protection locked="0"/>
    </xf>
    <xf numFmtId="0" fontId="9" fillId="0" borderId="0" xfId="79" applyFont="1" applyAlignment="1" applyProtection="1">
      <alignment horizontal="center"/>
      <protection locked="0"/>
    </xf>
    <xf numFmtId="0" fontId="37" fillId="0" borderId="0" xfId="64" applyAlignment="1">
      <alignment horizontal="center"/>
    </xf>
    <xf numFmtId="0" fontId="37" fillId="0" borderId="2" xfId="58" applyBorder="1" applyAlignment="1">
      <alignment horizontal="center"/>
    </xf>
    <xf numFmtId="0" fontId="52" fillId="0" borderId="0" xfId="37" applyFont="1" applyAlignment="1">
      <alignment horizontal="center"/>
    </xf>
    <xf numFmtId="0" fontId="52" fillId="0" borderId="0" xfId="38" applyFont="1" applyAlignment="1">
      <alignment horizontal="center"/>
    </xf>
    <xf numFmtId="1" fontId="18" fillId="0" borderId="0" xfId="79" applyNumberFormat="1" applyFont="1" applyAlignment="1" applyProtection="1">
      <alignment horizontal="center" vertical="center"/>
      <protection hidden="1"/>
    </xf>
    <xf numFmtId="0" fontId="20" fillId="0" borderId="0" xfId="79" applyFont="1" applyAlignment="1">
      <alignment horizontal="center"/>
    </xf>
    <xf numFmtId="167" fontId="4" fillId="0" borderId="9" xfId="79" applyNumberFormat="1" applyBorder="1" applyAlignment="1" applyProtection="1">
      <alignment horizontal="center" vertical="center"/>
      <protection hidden="1"/>
    </xf>
    <xf numFmtId="0" fontId="19" fillId="0" borderId="0" xfId="79" applyFont="1" applyAlignment="1">
      <alignment horizontal="left" vertical="top" wrapText="1"/>
    </xf>
    <xf numFmtId="0" fontId="19" fillId="0" borderId="0" xfId="79" applyFont="1" applyAlignment="1" applyProtection="1">
      <alignment horizontal="center"/>
      <protection locked="0"/>
    </xf>
    <xf numFmtId="0" fontId="39" fillId="0" borderId="0" xfId="74"/>
    <xf numFmtId="49" fontId="39" fillId="0" borderId="0" xfId="74" applyNumberFormat="1"/>
    <xf numFmtId="1" fontId="4" fillId="0" borderId="0" xfId="79" applyNumberFormat="1" applyAlignment="1" applyProtection="1">
      <alignment horizontal="right" vertical="center"/>
      <protection hidden="1"/>
    </xf>
    <xf numFmtId="0" fontId="7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7" fillId="0" borderId="0" xfId="0" applyFont="1"/>
    <xf numFmtId="4" fontId="7" fillId="0" borderId="0" xfId="0" applyNumberFormat="1" applyFont="1"/>
    <xf numFmtId="49" fontId="2" fillId="0" borderId="0" xfId="25" applyNumberFormat="1" applyAlignment="1">
      <alignment wrapText="1"/>
    </xf>
    <xf numFmtId="4" fontId="2" fillId="0" borderId="0" xfId="25" applyNumberFormat="1" applyAlignment="1">
      <alignment wrapText="1"/>
    </xf>
    <xf numFmtId="0" fontId="0" fillId="0" borderId="0" xfId="25" applyFont="1"/>
    <xf numFmtId="0" fontId="2" fillId="0" borderId="0" xfId="25"/>
    <xf numFmtId="49" fontId="2" fillId="0" borderId="0" xfId="25" applyNumberFormat="1"/>
    <xf numFmtId="4" fontId="2" fillId="0" borderId="0" xfId="25" applyNumberFormat="1"/>
    <xf numFmtId="4" fontId="2" fillId="0" borderId="0" xfId="13" applyNumberFormat="1"/>
    <xf numFmtId="0" fontId="2" fillId="0" borderId="0" xfId="25" applyAlignment="1">
      <alignment horizontal="center"/>
    </xf>
    <xf numFmtId="168" fontId="2" fillId="0" borderId="0" xfId="25" applyNumberFormat="1" applyAlignment="1">
      <alignment wrapText="1"/>
    </xf>
    <xf numFmtId="168" fontId="2" fillId="0" borderId="0" xfId="25" applyNumberFormat="1"/>
    <xf numFmtId="168" fontId="2" fillId="0" borderId="0" xfId="13" applyNumberFormat="1"/>
    <xf numFmtId="0" fontId="2" fillId="0" borderId="0" xfId="25" applyAlignment="1">
      <alignment wrapText="1"/>
    </xf>
    <xf numFmtId="0" fontId="38" fillId="0" borderId="0" xfId="6" applyAlignment="1" applyProtection="1"/>
    <xf numFmtId="0" fontId="38" fillId="0" borderId="0" xfId="6" applyAlignment="1" applyProtection="1">
      <protection locked="0" hidden="1"/>
    </xf>
    <xf numFmtId="0" fontId="39" fillId="0" borderId="0" xfId="47" applyFont="1" applyAlignment="1">
      <alignment vertical="top" wrapText="1"/>
    </xf>
    <xf numFmtId="4" fontId="4" fillId="0" borderId="0" xfId="79" applyNumberFormat="1" applyAlignment="1">
      <alignment horizontal="right" vertical="center"/>
    </xf>
    <xf numFmtId="0" fontId="48" fillId="0" borderId="0" xfId="6" applyFont="1" applyFill="1" applyBorder="1" applyAlignment="1" applyProtection="1">
      <alignment wrapText="1"/>
      <protection locked="0" hidden="1"/>
    </xf>
    <xf numFmtId="0" fontId="4" fillId="3" borderId="1" xfId="79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56" fillId="0" borderId="0" xfId="88" applyAlignment="1">
      <alignment horizontal="center"/>
    </xf>
    <xf numFmtId="0" fontId="56" fillId="0" borderId="0" xfId="88"/>
    <xf numFmtId="0" fontId="0" fillId="0" borderId="0" xfId="0" applyAlignment="1">
      <alignment horizontal="center" vertical="center"/>
    </xf>
    <xf numFmtId="0" fontId="38" fillId="0" borderId="0" xfId="6" applyAlignment="1" applyProtection="1">
      <protection locked="0"/>
    </xf>
    <xf numFmtId="0" fontId="3" fillId="0" borderId="0" xfId="4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3" fillId="0" borderId="0" xfId="4" applyAlignment="1">
      <alignment horizontal="left" vertical="center"/>
    </xf>
    <xf numFmtId="0" fontId="48" fillId="19" borderId="6" xfId="6" applyFont="1" applyFill="1" applyBorder="1" applyAlignment="1" applyProtection="1">
      <alignment wrapText="1"/>
      <protection locked="0" hidden="1"/>
    </xf>
    <xf numFmtId="0" fontId="48" fillId="19" borderId="0" xfId="6" applyFont="1" applyFill="1" applyBorder="1" applyAlignment="1" applyProtection="1">
      <alignment wrapText="1"/>
      <protection locked="0" hidden="1"/>
    </xf>
    <xf numFmtId="0" fontId="48" fillId="19" borderId="3" xfId="6" applyFont="1" applyFill="1" applyBorder="1" applyAlignment="1" applyProtection="1">
      <alignment wrapText="1"/>
      <protection locked="0" hidden="1"/>
    </xf>
    <xf numFmtId="0" fontId="7" fillId="19" borderId="6" xfId="4" applyFont="1" applyFill="1" applyBorder="1"/>
    <xf numFmtId="165" fontId="7" fillId="19" borderId="0" xfId="1" applyNumberFormat="1" applyFont="1" applyFill="1" applyAlignment="1">
      <alignment horizontal="center"/>
    </xf>
    <xf numFmtId="0" fontId="48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8" fillId="17" borderId="6" xfId="6" applyFont="1" applyFill="1" applyBorder="1" applyAlignment="1" applyProtection="1">
      <alignment wrapText="1"/>
      <protection locked="0" hidden="1"/>
    </xf>
    <xf numFmtId="0" fontId="48" fillId="17" borderId="0" xfId="6" applyFont="1" applyFill="1" applyBorder="1" applyAlignment="1" applyProtection="1">
      <alignment wrapText="1"/>
      <protection locked="0" hidden="1"/>
    </xf>
    <xf numFmtId="0" fontId="48" fillId="17" borderId="0" xfId="6" applyFont="1" applyFill="1" applyBorder="1" applyAlignment="1" applyProtection="1">
      <alignment horizontal="center"/>
      <protection locked="0" hidden="1"/>
    </xf>
    <xf numFmtId="0" fontId="48" fillId="17" borderId="0" xfId="6" applyFont="1" applyFill="1" applyBorder="1" applyAlignment="1" applyProtection="1">
      <alignment horizontal="center"/>
    </xf>
    <xf numFmtId="0" fontId="36" fillId="17" borderId="0" xfId="6" applyFont="1" applyFill="1" applyBorder="1" applyAlignment="1" applyProtection="1">
      <alignment horizontal="center" vertical="top" wrapText="1"/>
      <protection locked="0" hidden="1"/>
    </xf>
    <xf numFmtId="0" fontId="7" fillId="17" borderId="0" xfId="6" applyFont="1" applyFill="1" applyBorder="1" applyAlignment="1" applyProtection="1">
      <alignment horizontal="center" vertical="top" wrapText="1"/>
      <protection locked="0" hidden="1"/>
    </xf>
    <xf numFmtId="0" fontId="47" fillId="17" borderId="0" xfId="6" applyFont="1" applyFill="1" applyBorder="1" applyAlignment="1" applyProtection="1">
      <alignment vertical="center" wrapText="1"/>
      <protection locked="0" hidden="1"/>
    </xf>
    <xf numFmtId="0" fontId="48" fillId="21" borderId="0" xfId="6" applyFont="1" applyFill="1" applyBorder="1" applyAlignment="1" applyProtection="1">
      <alignment horizontal="center"/>
      <protection locked="0" hidden="1"/>
    </xf>
    <xf numFmtId="0" fontId="60" fillId="17" borderId="0" xfId="6" applyFont="1" applyFill="1" applyBorder="1" applyAlignment="1" applyProtection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2" fillId="0" borderId="8" xfId="0" applyFont="1" applyBorder="1" applyAlignment="1">
      <alignment horizontal="center" vertical="center" wrapText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8" fillId="19" borderId="0" xfId="3" applyFont="1" applyFill="1" applyAlignment="1" applyProtection="1">
      <alignment horizontal="center" vertical="center"/>
      <protection locked="0" hidden="1"/>
    </xf>
    <xf numFmtId="0" fontId="69" fillId="19" borderId="0" xfId="4" applyFont="1" applyFill="1" applyAlignment="1">
      <alignment horizontal="center" vertical="center"/>
    </xf>
    <xf numFmtId="0" fontId="70" fillId="19" borderId="0" xfId="4" applyFont="1" applyFill="1" applyAlignment="1">
      <alignment horizontal="center"/>
    </xf>
    <xf numFmtId="0" fontId="69" fillId="19" borderId="0" xfId="4" applyFont="1" applyFill="1"/>
    <xf numFmtId="0" fontId="70" fillId="19" borderId="4" xfId="4" applyFont="1" applyFill="1" applyBorder="1" applyAlignment="1">
      <alignment horizontal="center"/>
    </xf>
    <xf numFmtId="0" fontId="66" fillId="19" borderId="3" xfId="4" applyFont="1" applyFill="1" applyBorder="1" applyAlignment="1">
      <alignment horizontal="center" vertical="center"/>
    </xf>
    <xf numFmtId="0" fontId="66" fillId="19" borderId="0" xfId="4" applyFont="1" applyFill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71" fillId="19" borderId="6" xfId="4" applyFont="1" applyFill="1" applyBorder="1"/>
    <xf numFmtId="0" fontId="72" fillId="19" borderId="0" xfId="3" applyFont="1" applyFill="1" applyProtection="1">
      <protection locked="0"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locked="0" hidden="1"/>
    </xf>
    <xf numFmtId="0" fontId="71" fillId="19" borderId="0" xfId="4" applyFont="1" applyFill="1" applyAlignment="1">
      <alignment horizontal="center"/>
    </xf>
    <xf numFmtId="165" fontId="72" fillId="19" borderId="0" xfId="3" applyNumberFormat="1" applyFont="1" applyFill="1" applyAlignment="1" applyProtection="1">
      <alignment horizontal="center"/>
      <protection locked="0" hidden="1"/>
    </xf>
    <xf numFmtId="0" fontId="71" fillId="19" borderId="0" xfId="4" applyFont="1" applyFill="1" applyAlignment="1">
      <alignment horizontal="center" vertical="center"/>
    </xf>
    <xf numFmtId="0" fontId="71" fillId="19" borderId="3" xfId="4" applyFont="1" applyFill="1" applyBorder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6" fillId="17" borderId="6" xfId="4" applyFont="1" applyFill="1" applyBorder="1"/>
    <xf numFmtId="0" fontId="66" fillId="17" borderId="0" xfId="4" applyFont="1" applyFill="1"/>
    <xf numFmtId="0" fontId="66" fillId="17" borderId="29" xfId="4" applyFont="1" applyFill="1" applyBorder="1"/>
    <xf numFmtId="0" fontId="38" fillId="17" borderId="0" xfId="6" applyFill="1" applyBorder="1" applyAlignment="1" applyProtection="1">
      <alignment horizontal="center"/>
      <protection locked="0" hidden="1"/>
    </xf>
    <xf numFmtId="0" fontId="71" fillId="17" borderId="6" xfId="4" applyFont="1" applyFill="1" applyBorder="1"/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66" fillId="21" borderId="0" xfId="4" applyFont="1" applyFill="1"/>
    <xf numFmtId="0" fontId="66" fillId="21" borderId="3" xfId="4" applyFont="1" applyFill="1" applyBorder="1"/>
    <xf numFmtId="0" fontId="71" fillId="21" borderId="3" xfId="4" applyFont="1" applyFill="1" applyBorder="1"/>
    <xf numFmtId="0" fontId="71" fillId="21" borderId="0" xfId="4" applyFont="1" applyFill="1"/>
    <xf numFmtId="0" fontId="77" fillId="0" borderId="0" xfId="6" applyFont="1" applyFill="1" applyBorder="1" applyAlignment="1" applyProtection="1">
      <alignment horizontal="center" vertical="center"/>
      <protection locked="0" hidden="1"/>
    </xf>
    <xf numFmtId="0" fontId="32" fillId="0" borderId="0" xfId="4" applyFont="1"/>
    <xf numFmtId="0" fontId="78" fillId="0" borderId="0" xfId="6" applyFont="1" applyAlignment="1" applyProtection="1">
      <alignment horizontal="left" indent="1"/>
      <protection locked="0" hidden="1"/>
    </xf>
    <xf numFmtId="0" fontId="42" fillId="0" borderId="0" xfId="79" applyFont="1"/>
    <xf numFmtId="0" fontId="48" fillId="0" borderId="30" xfId="6" applyFont="1" applyFill="1" applyBorder="1" applyAlignment="1" applyProtection="1">
      <alignment horizontal="center"/>
      <protection locked="0" hidden="1"/>
    </xf>
    <xf numFmtId="0" fontId="66" fillId="0" borderId="31" xfId="4" applyFont="1" applyBorder="1" applyProtection="1">
      <protection locked="0"/>
    </xf>
    <xf numFmtId="0" fontId="66" fillId="17" borderId="0" xfId="4" applyFont="1" applyFill="1" applyProtection="1">
      <protection locked="0"/>
    </xf>
    <xf numFmtId="0" fontId="71" fillId="21" borderId="0" xfId="4" applyFont="1" applyFill="1" applyAlignment="1">
      <alignment horizontal="center"/>
    </xf>
    <xf numFmtId="0" fontId="38" fillId="21" borderId="0" xfId="6" applyFill="1" applyBorder="1" applyAlignment="1" applyProtection="1">
      <alignment horizontal="center"/>
      <protection locked="0" hidden="1"/>
    </xf>
    <xf numFmtId="0" fontId="66" fillId="0" borderId="31" xfId="4" applyFont="1" applyBorder="1"/>
    <xf numFmtId="0" fontId="47" fillId="0" borderId="31" xfId="6" applyFont="1" applyFill="1" applyBorder="1" applyAlignment="1" applyProtection="1">
      <alignment vertical="center" wrapText="1"/>
      <protection locked="0" hidden="1"/>
    </xf>
    <xf numFmtId="0" fontId="3" fillId="17" borderId="0" xfId="4" applyFill="1"/>
    <xf numFmtId="0" fontId="38" fillId="0" borderId="31" xfId="6" applyFill="1" applyBorder="1" applyAlignment="1" applyProtection="1">
      <alignment horizontal="center"/>
      <protection locked="0" hidden="1"/>
    </xf>
    <xf numFmtId="0" fontId="75" fillId="0" borderId="31" xfId="4" applyFont="1" applyBorder="1" applyAlignment="1">
      <alignment horizontal="center"/>
    </xf>
    <xf numFmtId="0" fontId="6" fillId="17" borderId="0" xfId="4" applyFont="1" applyFill="1"/>
    <xf numFmtId="0" fontId="48" fillId="0" borderId="31" xfId="6" applyFont="1" applyFill="1" applyBorder="1" applyAlignment="1" applyProtection="1">
      <alignment horizontal="center"/>
      <protection locked="0" hidden="1"/>
    </xf>
    <xf numFmtId="0" fontId="4" fillId="0" borderId="0" xfId="79" applyAlignment="1" applyProtection="1">
      <alignment horizontal="center" vertical="center"/>
      <protection locked="0"/>
    </xf>
    <xf numFmtId="0" fontId="48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8" fillId="17" borderId="4" xfId="6" applyFont="1" applyFill="1" applyBorder="1" applyAlignment="1" applyProtection="1">
      <alignment horizontal="center"/>
      <protection hidden="1"/>
    </xf>
    <xf numFmtId="0" fontId="71" fillId="17" borderId="4" xfId="4" applyFont="1" applyFill="1" applyBorder="1" applyProtection="1">
      <protection hidden="1"/>
    </xf>
    <xf numFmtId="0" fontId="48" fillId="17" borderId="3" xfId="6" applyFont="1" applyFill="1" applyBorder="1" applyAlignment="1" applyProtection="1">
      <alignment horizontal="center"/>
      <protection hidden="1"/>
    </xf>
    <xf numFmtId="0" fontId="48" fillId="16" borderId="0" xfId="6" applyFont="1" applyFill="1" applyBorder="1" applyAlignment="1" applyProtection="1">
      <alignment wrapText="1"/>
      <protection hidden="1"/>
    </xf>
    <xf numFmtId="0" fontId="48" fillId="16" borderId="3" xfId="6" applyFont="1" applyFill="1" applyBorder="1" applyAlignment="1" applyProtection="1">
      <alignment wrapText="1"/>
      <protection hidden="1"/>
    </xf>
    <xf numFmtId="0" fontId="48" fillId="18" borderId="0" xfId="6" applyFont="1" applyFill="1" applyBorder="1" applyAlignment="1" applyProtection="1">
      <alignment wrapText="1"/>
      <protection hidden="1"/>
    </xf>
    <xf numFmtId="0" fontId="48" fillId="16" borderId="4" xfId="6" applyFont="1" applyFill="1" applyBorder="1" applyAlignment="1" applyProtection="1">
      <alignment wrapText="1"/>
      <protection hidden="1"/>
    </xf>
    <xf numFmtId="0" fontId="48" fillId="16" borderId="5" xfId="6" applyFont="1" applyFill="1" applyBorder="1" applyAlignment="1" applyProtection="1">
      <alignment wrapText="1"/>
      <protection hidden="1"/>
    </xf>
    <xf numFmtId="0" fontId="48" fillId="16" borderId="6" xfId="6" applyFont="1" applyFill="1" applyBorder="1" applyAlignment="1" applyProtection="1">
      <alignment wrapText="1"/>
      <protection hidden="1"/>
    </xf>
    <xf numFmtId="0" fontId="48" fillId="16" borderId="20" xfId="6" applyFont="1" applyFill="1" applyBorder="1" applyAlignment="1" applyProtection="1">
      <alignment wrapText="1"/>
      <protection hidden="1"/>
    </xf>
    <xf numFmtId="0" fontId="67" fillId="16" borderId="4" xfId="4" applyFont="1" applyFill="1" applyBorder="1" applyAlignment="1" applyProtection="1">
      <alignment horizontal="center" vertical="center"/>
      <protection hidden="1"/>
    </xf>
    <xf numFmtId="0" fontId="48" fillId="21" borderId="6" xfId="6" applyFont="1" applyFill="1" applyBorder="1" applyAlignment="1" applyProtection="1">
      <alignment horizontal="center"/>
      <protection hidden="1"/>
    </xf>
    <xf numFmtId="0" fontId="48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71" fillId="17" borderId="20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21" borderId="4" xfId="4" applyFont="1" applyFill="1" applyBorder="1" applyProtection="1">
      <protection hidden="1"/>
    </xf>
    <xf numFmtId="0" fontId="48" fillId="21" borderId="4" xfId="6" applyFont="1" applyFill="1" applyBorder="1" applyAlignment="1" applyProtection="1">
      <alignment horizontal="center"/>
      <protection hidden="1"/>
    </xf>
    <xf numFmtId="0" fontId="71" fillId="21" borderId="5" xfId="4" applyFont="1" applyFill="1" applyBorder="1" applyProtection="1">
      <protection hidden="1"/>
    </xf>
    <xf numFmtId="0" fontId="71" fillId="21" borderId="3" xfId="4" applyFont="1" applyFill="1" applyBorder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6" fillId="0" borderId="0" xfId="4" applyFont="1" applyAlignment="1" applyProtection="1">
      <alignment horizontal="center"/>
      <protection hidden="1"/>
    </xf>
    <xf numFmtId="0" fontId="6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6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54" fillId="21" borderId="3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7" fillId="19" borderId="0" xfId="1" applyNumberFormat="1" applyFont="1" applyFill="1" applyAlignment="1" applyProtection="1">
      <alignment horizontal="center"/>
      <protection hidden="1"/>
    </xf>
    <xf numFmtId="0" fontId="47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8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3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8" fillId="20" borderId="0" xfId="6" applyFill="1" applyBorder="1" applyAlignment="1" applyProtection="1">
      <alignment horizontal="center"/>
      <protection hidden="1"/>
    </xf>
    <xf numFmtId="0" fontId="66" fillId="20" borderId="3" xfId="4" applyFont="1" applyFill="1" applyBorder="1" applyProtection="1"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8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3" fillId="19" borderId="4" xfId="6" applyFont="1" applyFill="1" applyBorder="1" applyAlignment="1" applyProtection="1">
      <alignment horizontal="center" vertical="top"/>
      <protection hidden="1"/>
    </xf>
    <xf numFmtId="0" fontId="71" fillId="20" borderId="3" xfId="4" applyFont="1" applyFill="1" applyBorder="1" applyAlignment="1" applyProtection="1">
      <alignment horizontal="center" vertical="center"/>
      <protection hidden="1"/>
    </xf>
    <xf numFmtId="0" fontId="43" fillId="20" borderId="0" xfId="6" applyFont="1" applyFill="1" applyBorder="1" applyAlignment="1" applyProtection="1">
      <alignment horizontal="center" vertical="center"/>
      <protection hidden="1"/>
    </xf>
    <xf numFmtId="0" fontId="23" fillId="5" borderId="33" xfId="0" applyFont="1" applyFill="1" applyBorder="1" applyAlignment="1">
      <alignment horizontal="left"/>
    </xf>
    <xf numFmtId="0" fontId="23" fillId="5" borderId="34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7" fillId="0" borderId="38" xfId="4" applyFont="1" applyBorder="1" applyAlignment="1">
      <alignment horizontal="center"/>
    </xf>
    <xf numFmtId="0" fontId="66" fillId="0" borderId="39" xfId="4" applyFont="1" applyBorder="1" applyAlignment="1">
      <alignment horizontal="center" vertical="center"/>
    </xf>
    <xf numFmtId="0" fontId="66" fillId="0" borderId="38" xfId="4" applyFont="1" applyBorder="1"/>
    <xf numFmtId="0" fontId="66" fillId="0" borderId="39" xfId="4" applyFont="1" applyBorder="1"/>
    <xf numFmtId="0" fontId="66" fillId="0" borderId="39" xfId="4" applyFont="1" applyBorder="1" applyAlignment="1">
      <alignment horizontal="center"/>
    </xf>
    <xf numFmtId="0" fontId="48" fillId="21" borderId="0" xfId="6" applyFont="1" applyFill="1" applyBorder="1" applyAlignment="1" applyProtection="1">
      <alignment wrapText="1"/>
      <protection hidden="1"/>
    </xf>
    <xf numFmtId="0" fontId="42" fillId="0" borderId="0" xfId="79" applyFont="1" applyAlignment="1">
      <alignment horizontal="right"/>
    </xf>
    <xf numFmtId="0" fontId="60" fillId="19" borderId="0" xfId="6" applyFont="1" applyFill="1" applyBorder="1" applyAlignment="1" applyProtection="1">
      <alignment horizontal="center"/>
      <protection locked="0" hidden="1"/>
    </xf>
    <xf numFmtId="0" fontId="60" fillId="17" borderId="0" xfId="6" applyFont="1" applyFill="1" applyBorder="1" applyAlignment="1" applyProtection="1">
      <alignment horizontal="center"/>
      <protection locked="0" hidden="1"/>
    </xf>
    <xf numFmtId="4" fontId="4" fillId="0" borderId="0" xfId="1" applyNumberFormat="1" applyFont="1" applyAlignment="1" applyProtection="1">
      <alignment horizontal="right"/>
      <protection hidden="1"/>
    </xf>
    <xf numFmtId="4" fontId="4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7" fillId="0" borderId="0" xfId="0" applyFont="1" applyProtection="1">
      <protection hidden="1"/>
    </xf>
    <xf numFmtId="0" fontId="48" fillId="0" borderId="0" xfId="6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7" fillId="0" borderId="17" xfId="0" applyFont="1" applyBorder="1" applyProtection="1">
      <protection hidden="1"/>
    </xf>
    <xf numFmtId="4" fontId="7" fillId="0" borderId="19" xfId="0" applyNumberFormat="1" applyFont="1" applyBorder="1" applyProtection="1">
      <protection hidden="1"/>
    </xf>
    <xf numFmtId="0" fontId="4" fillId="4" borderId="2" xfId="79" applyFill="1" applyBorder="1" applyAlignment="1" applyProtection="1">
      <alignment horizontal="center"/>
      <protection locked="0" hidden="1"/>
    </xf>
    <xf numFmtId="0" fontId="19" fillId="4" borderId="2" xfId="79" applyFont="1" applyFill="1" applyBorder="1" applyAlignment="1" applyProtection="1">
      <alignment horizontal="center"/>
      <protection locked="0" hidden="1"/>
    </xf>
    <xf numFmtId="0" fontId="66" fillId="0" borderId="39" xfId="4" applyFont="1" applyBorder="1" applyProtection="1">
      <protection locked="0"/>
    </xf>
    <xf numFmtId="0" fontId="83" fillId="0" borderId="0" xfId="6" applyNumberFormat="1" applyFont="1" applyFill="1" applyAlignment="1" applyProtection="1"/>
    <xf numFmtId="49" fontId="46" fillId="0" borderId="0" xfId="47" applyNumberFormat="1" applyFont="1" applyAlignment="1">
      <alignment horizontal="left" vertical="top" wrapText="1"/>
    </xf>
    <xf numFmtId="49" fontId="46" fillId="0" borderId="0" xfId="47" applyNumberFormat="1" applyFont="1" applyAlignment="1">
      <alignment vertical="top" wrapText="1"/>
    </xf>
    <xf numFmtId="49" fontId="51" fillId="0" borderId="0" xfId="47" applyNumberFormat="1" applyFont="1" applyAlignment="1">
      <alignment horizontal="left"/>
    </xf>
    <xf numFmtId="49" fontId="51" fillId="0" borderId="0" xfId="47" applyNumberFormat="1" applyFont="1"/>
    <xf numFmtId="0" fontId="18" fillId="0" borderId="0" xfId="79" applyFont="1" applyAlignment="1">
      <alignment horizontal="left"/>
    </xf>
    <xf numFmtId="0" fontId="4" fillId="0" borderId="0" xfId="79" applyAlignment="1" applyProtection="1">
      <alignment horizontal="left" vertical="center"/>
      <protection hidden="1"/>
    </xf>
    <xf numFmtId="0" fontId="18" fillId="0" borderId="0" xfId="79" applyFont="1" applyAlignment="1" applyProtection="1">
      <alignment horizontal="left"/>
      <protection hidden="1"/>
    </xf>
    <xf numFmtId="0" fontId="18" fillId="0" borderId="0" xfId="79" applyFont="1" applyAlignment="1">
      <alignment horizontal="left" vertical="center"/>
    </xf>
    <xf numFmtId="0" fontId="32" fillId="0" borderId="0" xfId="0" applyFont="1"/>
    <xf numFmtId="0" fontId="81" fillId="0" borderId="0" xfId="0" applyFont="1" applyAlignment="1">
      <alignment horizontal="left" vertical="top" indent="1"/>
    </xf>
    <xf numFmtId="0" fontId="4" fillId="0" borderId="0" xfId="79" applyAlignment="1">
      <alignment horizontal="left" indent="1"/>
    </xf>
    <xf numFmtId="0" fontId="18" fillId="0" borderId="0" xfId="79" applyFont="1" applyAlignment="1">
      <alignment horizontal="center" vertical="center"/>
    </xf>
    <xf numFmtId="0" fontId="82" fillId="0" borderId="0" xfId="0" applyFont="1"/>
    <xf numFmtId="0" fontId="32" fillId="0" borderId="0" xfId="0" applyFont="1" applyAlignment="1">
      <alignment vertical="top"/>
    </xf>
    <xf numFmtId="0" fontId="84" fillId="0" borderId="0" xfId="4" applyFont="1"/>
    <xf numFmtId="0" fontId="64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0" fontId="64" fillId="0" borderId="0" xfId="0" applyFont="1"/>
    <xf numFmtId="0" fontId="85" fillId="0" borderId="0" xfId="0" applyFont="1"/>
    <xf numFmtId="0" fontId="3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3" fillId="0" borderId="0" xfId="6" applyFont="1" applyFill="1" applyAlignment="1" applyProtection="1"/>
    <xf numFmtId="0" fontId="83" fillId="0" borderId="0" xfId="6" applyFont="1" applyFill="1" applyAlignment="1" applyProtection="1">
      <alignment horizontal="left"/>
    </xf>
    <xf numFmtId="0" fontId="86" fillId="19" borderId="0" xfId="6" applyFont="1" applyFill="1" applyBorder="1" applyAlignment="1" applyProtection="1">
      <alignment horizontal="center"/>
      <protection locked="0" hidden="1"/>
    </xf>
    <xf numFmtId="0" fontId="86" fillId="21" borderId="0" xfId="6" applyFont="1" applyFill="1" applyBorder="1" applyAlignment="1" applyProtection="1">
      <alignment horizontal="center"/>
      <protection locked="0" hidden="1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6" fillId="21" borderId="6" xfId="6" applyFont="1" applyFill="1" applyBorder="1" applyAlignment="1" applyProtection="1">
      <alignment horizontal="center"/>
      <protection hidden="1"/>
    </xf>
    <xf numFmtId="0" fontId="86" fillId="21" borderId="0" xfId="6" applyFont="1" applyFill="1" applyBorder="1" applyAlignment="1" applyProtection="1">
      <alignment horizontal="center"/>
      <protection hidden="1"/>
    </xf>
    <xf numFmtId="0" fontId="86" fillId="16" borderId="0" xfId="6" applyFont="1" applyFill="1" applyBorder="1" applyAlignment="1" applyProtection="1">
      <alignment horizontal="center" vertical="center"/>
      <protection locked="0" hidden="1"/>
    </xf>
    <xf numFmtId="0" fontId="70" fillId="16" borderId="0" xfId="4" applyFont="1" applyFill="1" applyAlignment="1">
      <alignment horizontal="center"/>
    </xf>
    <xf numFmtId="49" fontId="87" fillId="0" borderId="0" xfId="100" applyNumberFormat="1"/>
    <xf numFmtId="0" fontId="87" fillId="0" borderId="0" xfId="100"/>
    <xf numFmtId="169" fontId="87" fillId="0" borderId="0" xfId="100" applyNumberFormat="1"/>
    <xf numFmtId="170" fontId="87" fillId="0" borderId="0" xfId="100" applyNumberFormat="1"/>
    <xf numFmtId="0" fontId="32" fillId="0" borderId="0" xfId="101"/>
    <xf numFmtId="49" fontId="32" fillId="0" borderId="0" xfId="103" applyNumberFormat="1"/>
    <xf numFmtId="0" fontId="32" fillId="0" borderId="0" xfId="113"/>
    <xf numFmtId="49" fontId="32" fillId="0" borderId="0" xfId="123" applyNumberFormat="1"/>
    <xf numFmtId="0" fontId="88" fillId="0" borderId="0" xfId="79" applyFont="1" applyAlignment="1">
      <alignment horizontal="center"/>
    </xf>
    <xf numFmtId="0" fontId="30" fillId="0" borderId="0" xfId="79" applyFont="1" applyAlignment="1" applyProtection="1">
      <alignment horizontal="left" vertical="center" indent="1"/>
      <protection hidden="1"/>
    </xf>
    <xf numFmtId="0" fontId="4" fillId="0" borderId="0" xfId="79" applyAlignment="1" applyProtection="1">
      <alignment horizontal="left" vertical="center" indent="1"/>
      <protection hidden="1"/>
    </xf>
    <xf numFmtId="0" fontId="9" fillId="0" borderId="0" xfId="79" applyFont="1" applyAlignment="1" applyProtection="1">
      <alignment horizontal="center" vertical="center" wrapText="1"/>
      <protection hidden="1"/>
    </xf>
    <xf numFmtId="0" fontId="9" fillId="0" borderId="0" xfId="79" applyFont="1" applyAlignment="1" applyProtection="1">
      <alignment horizontal="center" vertical="center"/>
      <protection hidden="1"/>
    </xf>
    <xf numFmtId="0" fontId="8" fillId="0" borderId="0" xfId="79" applyFont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20" fillId="0" borderId="0" xfId="79" applyFont="1" applyAlignment="1" applyProtection="1">
      <alignment horizontal="left" vertical="center" indent="1"/>
      <protection hidden="1"/>
    </xf>
    <xf numFmtId="0" fontId="21" fillId="0" borderId="0" xfId="79" applyFont="1" applyAlignment="1" applyProtection="1">
      <alignment horizontal="left" vertical="center" indent="1"/>
      <protection hidden="1"/>
    </xf>
    <xf numFmtId="0" fontId="32" fillId="0" borderId="0" xfId="0" applyFont="1" applyProtection="1">
      <protection hidden="1"/>
    </xf>
    <xf numFmtId="0" fontId="10" fillId="2" borderId="0" xfId="79" applyFont="1" applyFill="1" applyAlignment="1" applyProtection="1">
      <alignment horizontal="left" vertical="center" indent="1"/>
      <protection hidden="1"/>
    </xf>
    <xf numFmtId="0" fontId="8" fillId="0" borderId="0" xfId="79" applyFont="1" applyAlignment="1" applyProtection="1">
      <alignment horizontal="left" vertical="center" wrapText="1" indent="1"/>
      <protection hidden="1"/>
    </xf>
    <xf numFmtId="0" fontId="8" fillId="9" borderId="0" xfId="79" applyFont="1" applyFill="1" applyAlignment="1" applyProtection="1">
      <alignment horizontal="left" vertical="center" indent="1"/>
      <protection hidden="1"/>
    </xf>
    <xf numFmtId="0" fontId="78" fillId="0" borderId="0" xfId="6" applyFont="1" applyAlignment="1" applyProtection="1">
      <alignment horizontal="left" indent="1"/>
      <protection hidden="1"/>
    </xf>
    <xf numFmtId="0" fontId="11" fillId="0" borderId="0" xfId="79" applyFont="1" applyAlignment="1" applyProtection="1">
      <alignment horizontal="left" vertical="center"/>
      <protection hidden="1"/>
    </xf>
    <xf numFmtId="0" fontId="57" fillId="0" borderId="0" xfId="79" applyFont="1" applyProtection="1">
      <protection hidden="1"/>
    </xf>
    <xf numFmtId="166" fontId="4" fillId="0" borderId="0" xfId="79" applyNumberFormat="1" applyAlignment="1" applyProtection="1">
      <alignment horizontal="center" vertical="center"/>
      <protection hidden="1"/>
    </xf>
    <xf numFmtId="0" fontId="41" fillId="0" borderId="0" xfId="79" applyFont="1" applyAlignment="1" applyProtection="1">
      <alignment horizontal="left" vertical="center"/>
      <protection hidden="1"/>
    </xf>
    <xf numFmtId="0" fontId="40" fillId="0" borderId="0" xfId="79" applyFont="1" applyAlignment="1" applyProtection="1">
      <alignment horizontal="center"/>
      <protection hidden="1"/>
    </xf>
    <xf numFmtId="167" fontId="4" fillId="0" borderId="0" xfId="79" applyNumberFormat="1" applyAlignment="1" applyProtection="1">
      <alignment horizontal="center"/>
      <protection hidden="1"/>
    </xf>
    <xf numFmtId="0" fontId="89" fillId="0" borderId="0" xfId="79" applyFont="1" applyAlignment="1" applyProtection="1">
      <alignment horizontal="left" vertical="center"/>
      <protection hidden="1"/>
    </xf>
    <xf numFmtId="0" fontId="16" fillId="0" borderId="0" xfId="79" applyFont="1" applyAlignment="1" applyProtection="1">
      <alignment horizontal="center"/>
      <protection hidden="1"/>
    </xf>
    <xf numFmtId="0" fontId="19" fillId="0" borderId="0" xfId="79" applyFont="1" applyAlignment="1" applyProtection="1">
      <alignment horizontal="center"/>
      <protection hidden="1"/>
    </xf>
    <xf numFmtId="0" fontId="22" fillId="0" borderId="0" xfId="79" applyFont="1" applyAlignment="1" applyProtection="1">
      <alignment horizontal="left"/>
      <protection hidden="1"/>
    </xf>
    <xf numFmtId="4" fontId="4" fillId="9" borderId="0" xfId="79" applyNumberFormat="1" applyFill="1" applyAlignment="1" applyProtection="1">
      <alignment horizontal="right"/>
      <protection hidden="1"/>
    </xf>
    <xf numFmtId="0" fontId="8" fillId="0" borderId="0" xfId="79" applyFont="1" applyAlignment="1" applyProtection="1">
      <alignment horizontal="right" vertical="center" indent="1"/>
      <protection hidden="1"/>
    </xf>
    <xf numFmtId="0" fontId="4" fillId="0" borderId="0" xfId="79" applyAlignment="1" applyProtection="1">
      <alignment horizontal="center" vertical="center"/>
      <protection locked="0" hidden="1"/>
    </xf>
    <xf numFmtId="0" fontId="32" fillId="0" borderId="0" xfId="135"/>
    <xf numFmtId="49" fontId="32" fillId="0" borderId="0" xfId="137" applyNumberFormat="1"/>
    <xf numFmtId="0" fontId="17" fillId="0" borderId="0" xfId="79" applyFont="1" applyProtection="1">
      <protection hidden="1"/>
    </xf>
    <xf numFmtId="4" fontId="14" fillId="0" borderId="0" xfId="7" applyNumberFormat="1" applyFont="1" applyAlignment="1" applyProtection="1">
      <alignment horizontal="right"/>
      <protection hidden="1"/>
    </xf>
    <xf numFmtId="0" fontId="16" fillId="0" borderId="0" xfId="79" applyFont="1" applyAlignment="1" applyProtection="1">
      <alignment horizontal="center" vertical="center"/>
      <protection hidden="1"/>
    </xf>
    <xf numFmtId="0" fontId="4" fillId="0" borderId="0" xfId="79" applyAlignment="1" applyProtection="1">
      <alignment horizontal="right"/>
      <protection hidden="1"/>
    </xf>
    <xf numFmtId="0" fontId="19" fillId="9" borderId="0" xfId="79" applyFont="1" applyFill="1" applyProtection="1">
      <protection hidden="1"/>
    </xf>
    <xf numFmtId="0" fontId="4" fillId="9" borderId="0" xfId="79" applyFill="1" applyProtection="1">
      <protection hidden="1"/>
    </xf>
    <xf numFmtId="0" fontId="24" fillId="9" borderId="0" xfId="79" applyFont="1" applyFill="1" applyAlignment="1" applyProtection="1">
      <alignment horizontal="right"/>
      <protection hidden="1"/>
    </xf>
    <xf numFmtId="0" fontId="35" fillId="0" borderId="0" xfId="0" applyFont="1" applyProtection="1">
      <protection hidden="1"/>
    </xf>
    <xf numFmtId="0" fontId="42" fillId="0" borderId="0" xfId="79" applyFont="1" applyProtection="1"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3" fontId="4" fillId="3" borderId="1" xfId="79" applyNumberFormat="1" applyFill="1" applyBorder="1" applyAlignment="1" applyProtection="1">
      <alignment horizontal="center" vertical="center"/>
      <protection locked="0" hidden="1"/>
    </xf>
    <xf numFmtId="0" fontId="4" fillId="3" borderId="1" xfId="79" applyFill="1" applyBorder="1" applyAlignment="1" applyProtection="1">
      <alignment horizontal="center" vertical="center"/>
      <protection locked="0" hidden="1"/>
    </xf>
    <xf numFmtId="0" fontId="4" fillId="3" borderId="1" xfId="79" applyFill="1" applyBorder="1" applyAlignment="1" applyProtection="1">
      <alignment horizontal="center" vertical="center" wrapText="1"/>
      <protection locked="0" hidden="1"/>
    </xf>
    <xf numFmtId="0" fontId="4" fillId="4" borderId="2" xfId="79" applyFill="1" applyBorder="1" applyAlignment="1" applyProtection="1">
      <alignment horizontal="center" vertical="center"/>
      <protection locked="0" hidden="1"/>
    </xf>
    <xf numFmtId="0" fontId="4" fillId="9" borderId="2" xfId="79" applyFill="1" applyBorder="1" applyAlignment="1" applyProtection="1">
      <alignment horizontal="center" vertical="center"/>
      <protection locked="0" hidden="1"/>
    </xf>
    <xf numFmtId="0" fontId="19" fillId="0" borderId="0" xfId="79" applyFont="1" applyAlignment="1" applyProtection="1">
      <alignment horizontal="left" vertical="top" wrapText="1"/>
      <protection hidden="1"/>
    </xf>
    <xf numFmtId="167" fontId="4" fillId="0" borderId="0" xfId="79" applyNumberFormat="1" applyProtection="1">
      <protection hidden="1"/>
    </xf>
    <xf numFmtId="0" fontId="4" fillId="8" borderId="0" xfId="79" applyFill="1" applyAlignment="1" applyProtection="1">
      <alignment horizontal="center"/>
      <protection hidden="1"/>
    </xf>
    <xf numFmtId="0" fontId="4" fillId="8" borderId="0" xfId="79" applyFill="1" applyProtection="1">
      <protection hidden="1"/>
    </xf>
    <xf numFmtId="166" fontId="4" fillId="0" borderId="0" xfId="79" applyNumberFormat="1" applyAlignment="1" applyProtection="1">
      <alignment horizontal="center"/>
      <protection hidden="1"/>
    </xf>
    <xf numFmtId="0" fontId="4" fillId="0" borderId="0" xfId="79" applyAlignment="1" applyProtection="1">
      <alignment wrapText="1"/>
      <protection hidden="1"/>
    </xf>
    <xf numFmtId="0" fontId="4" fillId="0" borderId="0" xfId="79" quotePrefix="1" applyProtection="1">
      <protection hidden="1"/>
    </xf>
    <xf numFmtId="3" fontId="4" fillId="0" borderId="0" xfId="79" applyNumberFormat="1" applyProtection="1">
      <protection hidden="1"/>
    </xf>
    <xf numFmtId="0" fontId="42" fillId="0" borderId="0" xfId="79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11" fillId="0" borderId="0" xfId="79" applyFont="1" applyAlignment="1">
      <alignment horizontal="center" vertical="center"/>
    </xf>
    <xf numFmtId="0" fontId="19" fillId="10" borderId="0" xfId="79" applyFont="1" applyFill="1" applyAlignment="1">
      <alignment vertical="top" wrapText="1"/>
    </xf>
    <xf numFmtId="0" fontId="14" fillId="0" borderId="0" xfId="0" applyFont="1" applyAlignment="1">
      <alignment horizontal="left" vertical="center"/>
    </xf>
    <xf numFmtId="4" fontId="4" fillId="0" borderId="0" xfId="2" applyNumberFormat="1" applyFont="1" applyAlignment="1" applyProtection="1">
      <alignment horizontal="right" vertical="center"/>
      <protection hidden="1"/>
    </xf>
    <xf numFmtId="4" fontId="2" fillId="0" borderId="0" xfId="7" applyNumberFormat="1" applyBorder="1" applyAlignment="1" applyProtection="1">
      <alignment horizontal="right"/>
      <protection hidden="1"/>
    </xf>
    <xf numFmtId="0" fontId="12" fillId="0" borderId="0" xfId="79" applyFont="1" applyAlignment="1">
      <alignment vertical="center"/>
    </xf>
    <xf numFmtId="0" fontId="93" fillId="0" borderId="0" xfId="79" applyFon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center" vertical="center"/>
      <protection hidden="1"/>
    </xf>
    <xf numFmtId="0" fontId="8" fillId="0" borderId="0" xfId="79" applyFont="1" applyAlignment="1">
      <alignment horizontal="left" vertical="center" wrapText="1" indent="1"/>
    </xf>
    <xf numFmtId="4" fontId="14" fillId="0" borderId="0" xfId="7" applyNumberFormat="1" applyFont="1" applyBorder="1" applyAlignment="1" applyProtection="1">
      <alignment horizontal="right" vertical="center"/>
      <protection hidden="1"/>
    </xf>
    <xf numFmtId="0" fontId="35" fillId="0" borderId="0" xfId="0" applyFont="1" applyAlignment="1">
      <alignment horizontal="center" vertical="center"/>
    </xf>
    <xf numFmtId="0" fontId="19" fillId="0" borderId="0" xfId="79" applyFont="1" applyAlignment="1">
      <alignment horizontal="left" vertical="center"/>
    </xf>
    <xf numFmtId="0" fontId="8" fillId="0" borderId="0" xfId="79" applyFont="1" applyAlignment="1">
      <alignment horizontal="right" vertical="center" wrapText="1" indent="1"/>
    </xf>
    <xf numFmtId="0" fontId="42" fillId="0" borderId="0" xfId="79" applyFont="1" applyAlignment="1">
      <alignment horizontal="left" vertical="center"/>
    </xf>
    <xf numFmtId="0" fontId="20" fillId="0" borderId="0" xfId="79" applyFont="1" applyAlignment="1">
      <alignment horizontal="left" vertical="center"/>
    </xf>
    <xf numFmtId="167" fontId="42" fillId="0" borderId="0" xfId="79" applyNumberFormat="1" applyFont="1" applyAlignment="1" applyProtection="1">
      <alignment horizontal="left" vertical="center"/>
      <protection hidden="1"/>
    </xf>
    <xf numFmtId="3" fontId="4" fillId="0" borderId="43" xfId="79" applyNumberFormat="1" applyBorder="1" applyAlignment="1" applyProtection="1">
      <alignment horizontal="center" vertical="center"/>
      <protection hidden="1"/>
    </xf>
    <xf numFmtId="3" fontId="4" fillId="0" borderId="44" xfId="79" applyNumberFormat="1" applyBorder="1" applyAlignment="1" applyProtection="1">
      <alignment horizontal="center" vertical="center"/>
      <protection hidden="1"/>
    </xf>
    <xf numFmtId="167" fontId="4" fillId="0" borderId="13" xfId="79" applyNumberFormat="1" applyBorder="1" applyAlignment="1" applyProtection="1">
      <alignment horizontal="center" vertical="center"/>
      <protection hidden="1"/>
    </xf>
    <xf numFmtId="0" fontId="8" fillId="0" borderId="0" xfId="79" applyFont="1" applyAlignment="1" applyProtection="1">
      <alignment horizontal="right" vertical="center" wrapText="1" indent="1"/>
      <protection hidden="1"/>
    </xf>
    <xf numFmtId="3" fontId="4" fillId="9" borderId="0" xfId="79" applyNumberFormat="1" applyFill="1" applyAlignment="1" applyProtection="1">
      <alignment horizontal="center" vertical="center"/>
      <protection hidden="1"/>
    </xf>
    <xf numFmtId="167" fontId="4" fillId="0" borderId="0" xfId="79" applyNumberFormat="1" applyAlignment="1" applyProtection="1">
      <alignment horizontal="right" vertical="center" wrapText="1"/>
      <protection hidden="1"/>
    </xf>
    <xf numFmtId="167" fontId="4" fillId="0" borderId="45" xfId="79" applyNumberFormat="1" applyBorder="1" applyAlignment="1" applyProtection="1">
      <alignment horizontal="center" vertical="center"/>
      <protection hidden="1"/>
    </xf>
    <xf numFmtId="167" fontId="4" fillId="10" borderId="9" xfId="79" applyNumberFormat="1" applyFill="1" applyBorder="1" applyAlignment="1" applyProtection="1">
      <alignment horizontal="center" vertical="center"/>
      <protection hidden="1"/>
    </xf>
    <xf numFmtId="167" fontId="4" fillId="0" borderId="46" xfId="79" applyNumberFormat="1" applyBorder="1" applyAlignment="1" applyProtection="1">
      <alignment horizontal="center" vertical="center"/>
      <protection hidden="1"/>
    </xf>
    <xf numFmtId="3" fontId="4" fillId="0" borderId="11" xfId="79" applyNumberFormat="1" applyBorder="1" applyAlignment="1" applyProtection="1">
      <alignment horizontal="center" vertical="center"/>
      <protection hidden="1"/>
    </xf>
    <xf numFmtId="167" fontId="4" fillId="0" borderId="14" xfId="79" applyNumberFormat="1" applyBorder="1" applyAlignment="1" applyProtection="1">
      <alignment horizontal="center" vertical="center"/>
      <protection hidden="1"/>
    </xf>
    <xf numFmtId="167" fontId="4" fillId="10" borderId="0" xfId="79" applyNumberFormat="1" applyFill="1" applyAlignment="1" applyProtection="1">
      <alignment horizontal="right" vertical="center" wrapText="1"/>
      <protection hidden="1"/>
    </xf>
    <xf numFmtId="167" fontId="4" fillId="10" borderId="13" xfId="79" applyNumberFormat="1" applyFill="1" applyBorder="1" applyAlignment="1" applyProtection="1">
      <alignment horizontal="center" vertical="center"/>
      <protection hidden="1"/>
    </xf>
    <xf numFmtId="0" fontId="4" fillId="0" borderId="0" xfId="79" applyAlignment="1">
      <alignment horizontal="right" vertical="center" wrapText="1"/>
    </xf>
    <xf numFmtId="167" fontId="4" fillId="0" borderId="0" xfId="79" applyNumberFormat="1" applyAlignment="1">
      <alignment horizontal="right" vertical="center" wrapText="1"/>
    </xf>
    <xf numFmtId="166" fontId="4" fillId="0" borderId="0" xfId="79" applyNumberFormat="1" applyAlignment="1">
      <alignment horizontal="right" vertical="center" wrapText="1"/>
    </xf>
    <xf numFmtId="3" fontId="4" fillId="0" borderId="47" xfId="79" applyNumberFormat="1" applyBorder="1" applyAlignment="1" applyProtection="1">
      <alignment horizontal="center" vertical="center"/>
      <protection hidden="1"/>
    </xf>
    <xf numFmtId="0" fontId="10" fillId="0" borderId="48" xfId="79" applyFont="1" applyBorder="1" applyAlignment="1">
      <alignment horizontal="left" vertical="center" indent="1"/>
    </xf>
    <xf numFmtId="0" fontId="77" fillId="0" borderId="0" xfId="6" applyFont="1" applyFill="1" applyBorder="1" applyAlignment="1" applyProtection="1">
      <alignment vertical="center"/>
      <protection locked="0" hidden="1"/>
    </xf>
    <xf numFmtId="0" fontId="19" fillId="0" borderId="0" xfId="79" applyFont="1" applyAlignment="1">
      <alignment vertical="top"/>
    </xf>
    <xf numFmtId="0" fontId="20" fillId="0" borderId="0" xfId="79" applyFont="1" applyAlignment="1">
      <alignment horizontal="right" vertical="center"/>
    </xf>
    <xf numFmtId="0" fontId="10" fillId="0" borderId="0" xfId="79" applyFont="1" applyAlignment="1">
      <alignment horizontal="right" vertical="center" indent="1"/>
    </xf>
    <xf numFmtId="0" fontId="20" fillId="0" borderId="0" xfId="79" applyFont="1" applyAlignment="1">
      <alignment horizontal="right" vertical="center" indent="1"/>
    </xf>
    <xf numFmtId="0" fontId="20" fillId="0" borderId="0" xfId="79" applyFont="1" applyAlignment="1" applyProtection="1">
      <alignment horizontal="center" vertical="center"/>
      <protection hidden="1"/>
    </xf>
    <xf numFmtId="3" fontId="4" fillId="0" borderId="2" xfId="79" applyNumberFormat="1" applyBorder="1" applyAlignment="1">
      <alignment horizontal="center"/>
    </xf>
    <xf numFmtId="0" fontId="86" fillId="19" borderId="0" xfId="6" applyNumberFormat="1" applyFont="1" applyFill="1" applyBorder="1" applyAlignment="1" applyProtection="1">
      <alignment horizontal="center"/>
      <protection locked="0" hidden="1"/>
    </xf>
    <xf numFmtId="0" fontId="86" fillId="19" borderId="0" xfId="6" applyFont="1" applyFill="1" applyBorder="1" applyAlignment="1" applyProtection="1">
      <alignment horizontal="center" vertical="center"/>
      <protection locked="0"/>
    </xf>
    <xf numFmtId="0" fontId="86" fillId="19" borderId="0" xfId="6" applyFont="1" applyFill="1" applyBorder="1" applyAlignment="1" applyProtection="1">
      <alignment horizontal="center" vertical="center"/>
      <protection locked="0" hidden="1"/>
    </xf>
    <xf numFmtId="0" fontId="86" fillId="20" borderId="0" xfId="6" applyFont="1" applyFill="1" applyBorder="1" applyAlignment="1" applyProtection="1">
      <alignment horizontal="center" vertical="center"/>
      <protection locked="0" hidden="1"/>
    </xf>
    <xf numFmtId="0" fontId="86" fillId="17" borderId="0" xfId="6" applyFont="1" applyFill="1" applyBorder="1" applyAlignment="1" applyProtection="1">
      <alignment horizontal="center"/>
      <protection locked="0" hidden="1"/>
    </xf>
    <xf numFmtId="0" fontId="86" fillId="17" borderId="0" xfId="6" applyFont="1" applyFill="1" applyBorder="1" applyAlignment="1" applyProtection="1">
      <alignment horizontal="center"/>
      <protection locked="0"/>
    </xf>
    <xf numFmtId="0" fontId="86" fillId="17" borderId="0" xfId="6" applyFont="1" applyFill="1" applyBorder="1" applyAlignment="1" applyProtection="1">
      <alignment horizontal="center"/>
      <protection hidden="1"/>
    </xf>
    <xf numFmtId="0" fontId="49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7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3" fillId="6" borderId="49" xfId="6" applyFont="1" applyFill="1" applyBorder="1" applyAlignment="1" applyProtection="1">
      <alignment horizontal="left" vertical="center" indent="1"/>
      <protection locked="0" hidden="1"/>
    </xf>
    <xf numFmtId="0" fontId="95" fillId="6" borderId="50" xfId="6" applyFont="1" applyFill="1" applyBorder="1" applyAlignment="1" applyProtection="1">
      <alignment horizontal="left" vertical="center" indent="1"/>
      <protection hidden="1"/>
    </xf>
    <xf numFmtId="0" fontId="8" fillId="0" borderId="0" xfId="79" applyFont="1" applyAlignment="1">
      <alignment horizontal="right" vertical="center" wrapText="1"/>
    </xf>
    <xf numFmtId="0" fontId="96" fillId="0" borderId="0" xfId="79" applyFont="1" applyAlignment="1" applyProtection="1">
      <alignment vertical="center" wrapText="1"/>
      <protection hidden="1"/>
    </xf>
    <xf numFmtId="0" fontId="32" fillId="0" borderId="0" xfId="100" applyFont="1"/>
    <xf numFmtId="3" fontId="4" fillId="22" borderId="51" xfId="0" applyNumberFormat="1" applyFont="1" applyFill="1" applyBorder="1" applyAlignment="1" applyProtection="1">
      <alignment horizontal="center" vertical="center"/>
      <protection locked="0"/>
    </xf>
    <xf numFmtId="3" fontId="4" fillId="22" borderId="52" xfId="0" applyNumberFormat="1" applyFont="1" applyFill="1" applyBorder="1" applyAlignment="1" applyProtection="1">
      <alignment horizontal="center" vertical="center"/>
      <protection locked="0"/>
    </xf>
    <xf numFmtId="0" fontId="4" fillId="22" borderId="52" xfId="0" applyFont="1" applyFill="1" applyBorder="1" applyAlignment="1" applyProtection="1">
      <alignment horizontal="center" vertical="center"/>
      <protection locked="0"/>
    </xf>
    <xf numFmtId="171" fontId="0" fillId="0" borderId="0" xfId="25" applyNumberFormat="1" applyFont="1"/>
    <xf numFmtId="0" fontId="4" fillId="4" borderId="14" xfId="79" applyFill="1" applyBorder="1" applyAlignment="1" applyProtection="1">
      <alignment horizontal="center"/>
      <protection locked="0"/>
    </xf>
    <xf numFmtId="0" fontId="4" fillId="10" borderId="0" xfId="79" applyFill="1" applyAlignment="1" applyProtection="1">
      <alignment horizontal="center"/>
      <protection locked="0"/>
    </xf>
    <xf numFmtId="0" fontId="8" fillId="10" borderId="0" xfId="79" applyFont="1" applyFill="1" applyAlignment="1" applyProtection="1">
      <alignment horizontal="left" vertical="center" indent="1"/>
      <protection hidden="1"/>
    </xf>
    <xf numFmtId="1" fontId="17" fillId="10" borderId="0" xfId="79" applyNumberFormat="1" applyFont="1" applyFill="1" applyAlignment="1" applyProtection="1">
      <alignment horizontal="left" vertical="center"/>
      <protection hidden="1"/>
    </xf>
    <xf numFmtId="4" fontId="4" fillId="10" borderId="0" xfId="1" applyNumberFormat="1" applyFont="1" applyFill="1" applyAlignment="1" applyProtection="1">
      <alignment horizontal="right" vertical="center"/>
      <protection hidden="1"/>
    </xf>
    <xf numFmtId="4" fontId="14" fillId="10" borderId="0" xfId="7" applyNumberFormat="1" applyFont="1" applyFill="1" applyBorder="1" applyAlignment="1" applyProtection="1">
      <alignment horizontal="right"/>
      <protection hidden="1"/>
    </xf>
    <xf numFmtId="0" fontId="4" fillId="10" borderId="0" xfId="79" applyFill="1" applyAlignment="1">
      <alignment horizontal="center"/>
    </xf>
    <xf numFmtId="0" fontId="4" fillId="10" borderId="0" xfId="79" applyFill="1" applyAlignment="1" applyProtection="1">
      <alignment horizontal="center"/>
      <protection hidden="1"/>
    </xf>
    <xf numFmtId="4" fontId="4" fillId="10" borderId="0" xfId="79" applyNumberFormat="1" applyFill="1" applyAlignment="1" applyProtection="1">
      <alignment horizontal="right" vertical="center"/>
      <protection hidden="1"/>
    </xf>
    <xf numFmtId="49" fontId="14" fillId="0" borderId="0" xfId="24" applyNumberFormat="1"/>
    <xf numFmtId="0" fontId="3" fillId="11" borderId="0" xfId="4" applyFill="1"/>
    <xf numFmtId="0" fontId="3" fillId="11" borderId="0" xfId="4" applyFill="1" applyAlignment="1">
      <alignment horizontal="center"/>
    </xf>
    <xf numFmtId="0" fontId="3" fillId="11" borderId="2" xfId="4" applyFill="1" applyBorder="1"/>
    <xf numFmtId="0" fontId="1" fillId="11" borderId="0" xfId="5" applyFill="1"/>
    <xf numFmtId="0" fontId="3" fillId="11" borderId="2" xfId="4" applyFill="1" applyBorder="1" applyAlignment="1">
      <alignment horizontal="center"/>
    </xf>
    <xf numFmtId="0" fontId="1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3" fillId="11" borderId="11" xfId="4" applyFill="1" applyBorder="1"/>
    <xf numFmtId="0" fontId="3" fillId="23" borderId="0" xfId="4" applyFill="1"/>
    <xf numFmtId="0" fontId="3" fillId="23" borderId="2" xfId="4" applyFill="1" applyBorder="1"/>
    <xf numFmtId="0" fontId="3" fillId="23" borderId="0" xfId="4" applyFill="1" applyAlignment="1">
      <alignment horizontal="center"/>
    </xf>
    <xf numFmtId="0" fontId="3" fillId="23" borderId="2" xfId="4" applyFill="1" applyBorder="1" applyAlignment="1">
      <alignment horizontal="center"/>
    </xf>
    <xf numFmtId="0" fontId="3" fillId="12" borderId="2" xfId="4" applyFill="1" applyBorder="1"/>
    <xf numFmtId="0" fontId="3" fillId="12" borderId="0" xfId="4" applyFill="1"/>
    <xf numFmtId="0" fontId="3" fillId="12" borderId="0" xfId="4" applyFill="1" applyAlignment="1">
      <alignment horizontal="center"/>
    </xf>
    <xf numFmtId="0" fontId="3" fillId="24" borderId="2" xfId="4" applyFill="1" applyBorder="1"/>
    <xf numFmtId="0" fontId="1" fillId="24" borderId="2" xfId="4" applyFont="1" applyFill="1" applyBorder="1"/>
    <xf numFmtId="0" fontId="3" fillId="24" borderId="0" xfId="4" applyFill="1"/>
    <xf numFmtId="0" fontId="3" fillId="24" borderId="2" xfId="4" applyFill="1" applyBorder="1" applyAlignment="1">
      <alignment horizontal="center"/>
    </xf>
    <xf numFmtId="0" fontId="0" fillId="25" borderId="2" xfId="0" applyFill="1" applyBorder="1" applyAlignment="1">
      <alignment horizontal="center" vertical="center"/>
    </xf>
    <xf numFmtId="0" fontId="3" fillId="25" borderId="0" xfId="4" applyFill="1"/>
    <xf numFmtId="0" fontId="3" fillId="25" borderId="2" xfId="4" applyFill="1" applyBorder="1"/>
    <xf numFmtId="0" fontId="3" fillId="25" borderId="2" xfId="4" applyFill="1" applyBorder="1" applyAlignment="1">
      <alignment horizontal="center"/>
    </xf>
    <xf numFmtId="0" fontId="1" fillId="25" borderId="2" xfId="4" applyFont="1" applyFill="1" applyBorder="1"/>
    <xf numFmtId="1" fontId="4" fillId="10" borderId="0" xfId="79" applyNumberFormat="1" applyFill="1" applyAlignment="1" applyProtection="1">
      <alignment horizontal="center" vertical="center"/>
      <protection hidden="1"/>
    </xf>
    <xf numFmtId="0" fontId="1" fillId="11" borderId="0" xfId="4" applyFont="1" applyFill="1"/>
    <xf numFmtId="4" fontId="2" fillId="8" borderId="0" xfId="25" applyNumberFormat="1" applyFill="1" applyAlignment="1">
      <alignment wrapText="1"/>
    </xf>
    <xf numFmtId="0" fontId="1" fillId="0" borderId="2" xfId="5" applyBorder="1"/>
    <xf numFmtId="0" fontId="59" fillId="17" borderId="40" xfId="6" applyFont="1" applyFill="1" applyBorder="1" applyAlignment="1" applyProtection="1">
      <alignment horizontal="left" vertical="center" wrapText="1"/>
      <protection locked="0" hidden="1"/>
    </xf>
    <xf numFmtId="0" fontId="59" fillId="17" borderId="41" xfId="6" applyFont="1" applyFill="1" applyBorder="1" applyAlignment="1" applyProtection="1">
      <alignment horizontal="left" vertical="center" wrapText="1"/>
      <protection locked="0" hidden="1"/>
    </xf>
    <xf numFmtId="0" fontId="59" fillId="17" borderId="42" xfId="6" applyFont="1" applyFill="1" applyBorder="1" applyAlignment="1" applyProtection="1">
      <alignment horizontal="left" vertical="center" wrapText="1"/>
      <protection locked="0" hidden="1"/>
    </xf>
    <xf numFmtId="0" fontId="53" fillId="7" borderId="37" xfId="6" applyFont="1" applyFill="1" applyBorder="1" applyAlignment="1" applyProtection="1">
      <alignment horizontal="center" vertical="center"/>
      <protection locked="0" hidden="1"/>
    </xf>
    <xf numFmtId="0" fontId="53" fillId="7" borderId="18" xfId="6" applyFont="1" applyFill="1" applyBorder="1" applyAlignment="1" applyProtection="1">
      <alignment horizontal="center" vertical="center"/>
      <protection locked="0" hidden="1"/>
    </xf>
    <xf numFmtId="0" fontId="53" fillId="7" borderId="24" xfId="6" applyFont="1" applyFill="1" applyBorder="1" applyAlignment="1" applyProtection="1">
      <alignment horizontal="center" vertical="center"/>
      <protection locked="0" hidden="1"/>
    </xf>
    <xf numFmtId="0" fontId="43" fillId="0" borderId="0" xfId="6" applyFont="1" applyBorder="1" applyAlignment="1" applyProtection="1">
      <alignment horizontal="left" vertical="top"/>
      <protection locked="0" hidden="1"/>
    </xf>
    <xf numFmtId="0" fontId="77" fillId="0" borderId="0" xfId="6" applyFont="1" applyFill="1" applyBorder="1" applyAlignment="1" applyProtection="1">
      <alignment horizontal="center" vertical="center"/>
      <protection locked="0" hidden="1"/>
    </xf>
    <xf numFmtId="0" fontId="74" fillId="21" borderId="6" xfId="3" applyFont="1" applyFill="1" applyBorder="1" applyAlignment="1" applyProtection="1">
      <alignment horizontal="center" wrapText="1"/>
      <protection hidden="1"/>
    </xf>
    <xf numFmtId="0" fontId="74" fillId="21" borderId="0" xfId="3" applyFont="1" applyFill="1" applyAlignment="1" applyProtection="1">
      <alignment horizontal="center" wrapText="1"/>
      <protection hidden="1"/>
    </xf>
    <xf numFmtId="0" fontId="94" fillId="21" borderId="0" xfId="6" applyFont="1" applyFill="1" applyBorder="1" applyAlignment="1" applyProtection="1">
      <alignment horizontal="center" vertical="center"/>
      <protection hidden="1"/>
    </xf>
    <xf numFmtId="0" fontId="94" fillId="21" borderId="3" xfId="6" applyFont="1" applyFill="1" applyBorder="1" applyAlignment="1" applyProtection="1">
      <alignment horizontal="center" vertical="center"/>
      <protection hidden="1"/>
    </xf>
    <xf numFmtId="0" fontId="38" fillId="0" borderId="0" xfId="6" applyAlignment="1" applyProtection="1">
      <alignment horizontal="left"/>
      <protection locked="0" hidden="1"/>
    </xf>
    <xf numFmtId="0" fontId="86" fillId="21" borderId="0" xfId="6" applyFont="1" applyFill="1" applyBorder="1" applyAlignment="1" applyProtection="1">
      <alignment horizontal="center" vertical="center" wrapText="1"/>
      <protection hidden="1"/>
    </xf>
    <xf numFmtId="0" fontId="62" fillId="14" borderId="32" xfId="4" applyFont="1" applyFill="1" applyBorder="1" applyAlignment="1">
      <alignment horizontal="left" vertical="center" wrapText="1"/>
    </xf>
    <xf numFmtId="0" fontId="7" fillId="14" borderId="33" xfId="0" applyFont="1" applyFill="1" applyBorder="1" applyAlignment="1">
      <alignment horizontal="left" vertical="center" wrapText="1"/>
    </xf>
    <xf numFmtId="0" fontId="7" fillId="14" borderId="6" xfId="0" applyFont="1" applyFill="1" applyBorder="1" applyAlignment="1">
      <alignment horizontal="left" vertical="center" wrapText="1"/>
    </xf>
    <xf numFmtId="0" fontId="7" fillId="14" borderId="0" xfId="0" applyFont="1" applyFill="1" applyAlignment="1">
      <alignment horizontal="left" vertical="center" wrapText="1"/>
    </xf>
    <xf numFmtId="0" fontId="7" fillId="14" borderId="20" xfId="0" applyFont="1" applyFill="1" applyBorder="1" applyAlignment="1">
      <alignment horizontal="left" vertical="center" wrapText="1"/>
    </xf>
    <xf numFmtId="0" fontId="7" fillId="14" borderId="4" xfId="0" applyFont="1" applyFill="1" applyBorder="1" applyAlignment="1">
      <alignment horizontal="left" vertical="center" wrapText="1"/>
    </xf>
    <xf numFmtId="0" fontId="63" fillId="14" borderId="35" xfId="0" applyFont="1" applyFill="1" applyBorder="1" applyAlignment="1" applyProtection="1">
      <alignment horizontal="left"/>
      <protection hidden="1"/>
    </xf>
    <xf numFmtId="0" fontId="2" fillId="0" borderId="2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64" fillId="15" borderId="21" xfId="0" applyFont="1" applyFill="1" applyBorder="1"/>
    <xf numFmtId="0" fontId="2" fillId="0" borderId="22" xfId="0" applyFont="1" applyBorder="1"/>
    <xf numFmtId="0" fontId="64" fillId="0" borderId="17" xfId="0" applyFont="1" applyBorder="1" applyAlignment="1" applyProtection="1">
      <alignment horizontal="center"/>
      <protection locked="0" hidden="1"/>
    </xf>
    <xf numFmtId="0" fontId="2" fillId="0" borderId="23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86" fillId="20" borderId="0" xfId="6" applyNumberFormat="1" applyFont="1" applyFill="1" applyBorder="1" applyAlignment="1" applyProtection="1">
      <alignment horizontal="center"/>
      <protection hidden="1"/>
    </xf>
    <xf numFmtId="0" fontId="86" fillId="20" borderId="3" xfId="6" applyNumberFormat="1" applyFont="1" applyFill="1" applyBorder="1" applyAlignment="1" applyProtection="1">
      <alignment horizontal="center"/>
      <protection hidden="1"/>
    </xf>
    <xf numFmtId="0" fontId="79" fillId="0" borderId="37" xfId="4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9" fillId="19" borderId="25" xfId="6" applyFont="1" applyFill="1" applyBorder="1" applyAlignment="1" applyProtection="1">
      <alignment vertical="center" wrapText="1"/>
      <protection locked="0" hidden="1"/>
    </xf>
    <xf numFmtId="0" fontId="59" fillId="19" borderId="26" xfId="6" applyFont="1" applyFill="1" applyBorder="1" applyAlignment="1" applyProtection="1">
      <alignment vertical="center" wrapText="1"/>
      <protection locked="0" hidden="1"/>
    </xf>
    <xf numFmtId="0" fontId="59" fillId="19" borderId="27" xfId="6" applyFont="1" applyFill="1" applyBorder="1" applyAlignment="1" applyProtection="1">
      <alignment vertical="center" wrapText="1"/>
      <protection locked="0" hidden="1"/>
    </xf>
    <xf numFmtId="0" fontId="59" fillId="19" borderId="28" xfId="6" applyFont="1" applyFill="1" applyBorder="1" applyAlignment="1" applyProtection="1">
      <alignment vertical="center" wrapText="1"/>
      <protection locked="0" hidden="1"/>
    </xf>
    <xf numFmtId="0" fontId="59" fillId="18" borderId="25" xfId="6" applyFont="1" applyFill="1" applyBorder="1" applyAlignment="1" applyProtection="1">
      <alignment vertical="center" wrapText="1"/>
      <protection locked="0" hidden="1"/>
    </xf>
    <xf numFmtId="0" fontId="59" fillId="18" borderId="26" xfId="6" applyFont="1" applyFill="1" applyBorder="1" applyAlignment="1" applyProtection="1">
      <alignment vertical="center" wrapText="1"/>
      <protection locked="0" hidden="1"/>
    </xf>
    <xf numFmtId="0" fontId="59" fillId="18" borderId="27" xfId="6" applyFont="1" applyFill="1" applyBorder="1" applyAlignment="1" applyProtection="1">
      <alignment vertical="center" wrapText="1"/>
      <protection locked="0" hidden="1"/>
    </xf>
    <xf numFmtId="0" fontId="59" fillId="18" borderId="28" xfId="6" applyFont="1" applyFill="1" applyBorder="1" applyAlignment="1" applyProtection="1">
      <alignment vertical="center" wrapText="1"/>
      <protection locked="0" hidden="1"/>
    </xf>
    <xf numFmtId="0" fontId="64" fillId="15" borderId="21" xfId="0" applyFont="1" applyFill="1" applyBorder="1" applyProtection="1">
      <protection locked="0"/>
    </xf>
    <xf numFmtId="0" fontId="2" fillId="0" borderId="7" xfId="0" applyFont="1" applyBorder="1"/>
    <xf numFmtId="0" fontId="65" fillId="8" borderId="8" xfId="0" applyFont="1" applyFill="1" applyBorder="1" applyAlignment="1" applyProtection="1">
      <alignment horizontal="center"/>
      <protection locked="0"/>
    </xf>
    <xf numFmtId="0" fontId="2" fillId="8" borderId="2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4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0" fontId="26" fillId="0" borderId="0" xfId="79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9" fillId="0" borderId="0" xfId="79" applyFont="1" applyAlignment="1" applyProtection="1">
      <alignment horizontal="left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4" fillId="0" borderId="0" xfId="79" applyAlignment="1" applyProtection="1">
      <alignment horizontal="center"/>
      <protection hidden="1"/>
    </xf>
    <xf numFmtId="0" fontId="96" fillId="0" borderId="0" xfId="79" applyFont="1" applyAlignment="1" applyProtection="1">
      <alignment horizontal="center" vertical="center" wrapText="1"/>
      <protection hidden="1"/>
    </xf>
    <xf numFmtId="0" fontId="4" fillId="0" borderId="0" xfId="79" applyAlignment="1">
      <alignment horizontal="center" wrapText="1"/>
    </xf>
    <xf numFmtId="0" fontId="42" fillId="0" borderId="0" xfId="79" applyFont="1" applyAlignment="1" applyProtection="1">
      <alignment horizont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92" fillId="0" borderId="0" xfId="79" applyFont="1" applyAlignment="1" applyProtection="1">
      <alignment horizontal="left" vertical="center"/>
      <protection hidden="1"/>
    </xf>
    <xf numFmtId="0" fontId="11" fillId="0" borderId="16" xfId="79" applyFont="1" applyBorder="1" applyAlignment="1" applyProtection="1">
      <alignment horizontal="center" vertical="center"/>
      <protection hidden="1"/>
    </xf>
    <xf numFmtId="0" fontId="4" fillId="8" borderId="11" xfId="79" applyFill="1" applyBorder="1" applyAlignment="1" applyProtection="1">
      <alignment horizontal="center"/>
      <protection locked="0" hidden="1"/>
    </xf>
    <xf numFmtId="0" fontId="4" fillId="8" borderId="22" xfId="79" applyFill="1" applyBorder="1" applyAlignment="1" applyProtection="1">
      <alignment horizontal="center"/>
      <protection locked="0" hidden="1"/>
    </xf>
    <xf numFmtId="0" fontId="4" fillId="8" borderId="7" xfId="79" applyFill="1" applyBorder="1" applyAlignment="1" applyProtection="1">
      <alignment horizontal="center"/>
      <protection locked="0" hidden="1"/>
    </xf>
    <xf numFmtId="0" fontId="19" fillId="10" borderId="0" xfId="79" applyFont="1" applyFill="1" applyAlignment="1" applyProtection="1">
      <alignment horizontal="center" vertical="top" wrapText="1"/>
      <protection hidden="1"/>
    </xf>
    <xf numFmtId="0" fontId="4" fillId="0" borderId="0" xfId="79" applyAlignment="1" applyProtection="1">
      <alignment horizontal="center" wrapText="1"/>
      <protection hidden="1"/>
    </xf>
    <xf numFmtId="0" fontId="42" fillId="0" borderId="0" xfId="79" applyFont="1" applyAlignment="1">
      <alignment horizontal="center"/>
    </xf>
    <xf numFmtId="0" fontId="19" fillId="10" borderId="0" xfId="79" applyFont="1" applyFill="1" applyAlignment="1">
      <alignment horizontal="center" vertical="top" wrapText="1"/>
    </xf>
    <xf numFmtId="0" fontId="26" fillId="0" borderId="0" xfId="79" applyFont="1" applyAlignment="1">
      <alignment horizontal="left" vertical="center"/>
    </xf>
    <xf numFmtId="0" fontId="0" fillId="0" borderId="0" xfId="0"/>
    <xf numFmtId="0" fontId="19" fillId="0" borderId="0" xfId="79" applyFont="1" applyAlignment="1">
      <alignment horizontal="left"/>
    </xf>
    <xf numFmtId="0" fontId="11" fillId="0" borderId="16" xfId="79" applyFont="1" applyBorder="1" applyAlignment="1">
      <alignment horizontal="center" vertical="center"/>
    </xf>
    <xf numFmtId="0" fontId="4" fillId="8" borderId="11" xfId="79" applyFill="1" applyBorder="1" applyAlignment="1" applyProtection="1">
      <alignment horizontal="center"/>
      <protection locked="0"/>
    </xf>
    <xf numFmtId="0" fontId="4" fillId="8" borderId="22" xfId="79" applyFill="1" applyBorder="1" applyAlignment="1" applyProtection="1">
      <alignment horizontal="center"/>
      <protection locked="0"/>
    </xf>
    <xf numFmtId="0" fontId="4" fillId="8" borderId="7" xfId="79" applyFill="1" applyBorder="1" applyAlignment="1" applyProtection="1">
      <alignment horizontal="center"/>
      <protection locked="0"/>
    </xf>
    <xf numFmtId="0" fontId="19" fillId="10" borderId="0" xfId="79" applyFont="1" applyFill="1" applyAlignment="1">
      <alignment horizontal="left" vertical="top" wrapText="1"/>
    </xf>
    <xf numFmtId="0" fontId="4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4" fillId="8" borderId="2" xfId="79" applyFill="1" applyBorder="1" applyAlignment="1" applyProtection="1">
      <alignment horizontal="center" vertical="center"/>
      <protection locked="0" hidden="1"/>
    </xf>
    <xf numFmtId="0" fontId="8" fillId="0" borderId="0" xfId="79" applyFont="1" applyAlignment="1">
      <alignment horizontal="left" vertical="center"/>
    </xf>
    <xf numFmtId="0" fontId="49" fillId="0" borderId="0" xfId="79" applyFont="1" applyAlignment="1">
      <alignment horizontal="center" vertical="center"/>
    </xf>
    <xf numFmtId="0" fontId="4" fillId="8" borderId="11" xfId="79" applyFill="1" applyBorder="1" applyAlignment="1" applyProtection="1">
      <alignment horizontal="center" vertical="center"/>
      <protection locked="0" hidden="1"/>
    </xf>
    <xf numFmtId="0" fontId="4" fillId="8" borderId="22" xfId="79" applyFill="1" applyBorder="1" applyAlignment="1" applyProtection="1">
      <alignment horizontal="center" vertical="center"/>
      <protection locked="0" hidden="1"/>
    </xf>
    <xf numFmtId="0" fontId="4" fillId="8" borderId="7" xfId="79" applyFill="1" applyBorder="1" applyAlignment="1" applyProtection="1">
      <alignment horizontal="center" vertical="center"/>
      <protection locked="0" hidden="1"/>
    </xf>
    <xf numFmtId="0" fontId="11" fillId="0" borderId="0" xfId="79" applyFont="1" applyAlignment="1">
      <alignment horizontal="center" vertical="center"/>
    </xf>
    <xf numFmtId="167" fontId="4" fillId="0" borderId="0" xfId="79" applyNumberFormat="1" applyAlignment="1" applyProtection="1">
      <alignment horizontal="right" vertical="center" wrapText="1"/>
      <protection hidden="1"/>
    </xf>
    <xf numFmtId="4" fontId="4" fillId="0" borderId="0" xfId="79" applyNumberFormat="1"/>
    <xf numFmtId="0" fontId="8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</cellXfs>
  <cellStyles count="149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3" xfId="9" xr:uid="{00000000-0005-0000-0000-000008000000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Normální" xfId="0" builtinId="0"/>
    <cellStyle name="normální 10" xfId="14" xr:uid="{00000000-0005-0000-0000-00000E000000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3" xfId="147" xr:uid="{00000000-0005-0000-0000-0000C1000000}"/>
    <cellStyle name="Normální 134" xfId="148" xr:uid="{00000000-0005-0000-0000-0000C2000000}"/>
    <cellStyle name="normální 14" xfId="18" xr:uid="{00000000-0005-0000-0000-000032000000}"/>
    <cellStyle name="normální 15" xfId="19" xr:uid="{00000000-0005-0000-0000-000033000000}"/>
    <cellStyle name="normální 16" xfId="20" xr:uid="{00000000-0005-0000-0000-000034000000}"/>
    <cellStyle name="normální 17" xfId="21" xr:uid="{00000000-0005-0000-0000-000035000000}"/>
    <cellStyle name="normální 18" xfId="22" xr:uid="{00000000-0005-0000-0000-000036000000}"/>
    <cellStyle name="normální 19" xfId="23" xr:uid="{00000000-0005-0000-0000-000037000000}"/>
    <cellStyle name="normální 2" xfId="24" xr:uid="{00000000-0005-0000-0000-000038000000}"/>
    <cellStyle name="normální 2 2" xfId="25" xr:uid="{00000000-0005-0000-0000-000039000000}"/>
    <cellStyle name="normální 20" xfId="26" xr:uid="{00000000-0005-0000-0000-00003A000000}"/>
    <cellStyle name="normální 21" xfId="27" xr:uid="{00000000-0005-0000-0000-00003B000000}"/>
    <cellStyle name="normální 22" xfId="28" xr:uid="{00000000-0005-0000-0000-00003C000000}"/>
    <cellStyle name="normální 23" xfId="29" xr:uid="{00000000-0005-0000-0000-00003D000000}"/>
    <cellStyle name="normální 24" xfId="30" xr:uid="{00000000-0005-0000-0000-00003E000000}"/>
    <cellStyle name="normální 25" xfId="31" xr:uid="{00000000-0005-0000-0000-00003F000000}"/>
    <cellStyle name="normální 26" xfId="32" xr:uid="{00000000-0005-0000-0000-000040000000}"/>
    <cellStyle name="normální 27" xfId="33" xr:uid="{00000000-0005-0000-0000-000041000000}"/>
    <cellStyle name="normální 28" xfId="34" xr:uid="{00000000-0005-0000-0000-000042000000}"/>
    <cellStyle name="normální 29" xfId="35" xr:uid="{00000000-0005-0000-0000-000043000000}"/>
    <cellStyle name="Normální 3" xfId="36" xr:uid="{00000000-0005-0000-0000-000044000000}"/>
    <cellStyle name="normální 30" xfId="37" xr:uid="{00000000-0005-0000-0000-000045000000}"/>
    <cellStyle name="normální 31" xfId="38" xr:uid="{00000000-0005-0000-0000-000046000000}"/>
    <cellStyle name="normální 32" xfId="39" xr:uid="{00000000-0005-0000-0000-000047000000}"/>
    <cellStyle name="normální 33" xfId="40" xr:uid="{00000000-0005-0000-0000-000048000000}"/>
    <cellStyle name="normální 34" xfId="41" xr:uid="{00000000-0005-0000-0000-000049000000}"/>
    <cellStyle name="Normální 35" xfId="42" xr:uid="{00000000-0005-0000-0000-00004A000000}"/>
    <cellStyle name="Normální 36" xfId="43" xr:uid="{00000000-0005-0000-0000-00004B000000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4" xfId="52" xr:uid="{00000000-0005-0000-0000-000054000000}"/>
    <cellStyle name="Normální 45" xfId="53" xr:uid="{00000000-0005-0000-0000-000055000000}"/>
    <cellStyle name="Normální 46" xfId="54" xr:uid="{00000000-0005-0000-0000-000056000000}"/>
    <cellStyle name="Normální 47" xfId="55" xr:uid="{00000000-0005-0000-0000-000057000000}"/>
    <cellStyle name="Normální 48" xfId="56" xr:uid="{00000000-0005-0000-0000-000058000000}"/>
    <cellStyle name="Normální 49" xfId="57" xr:uid="{00000000-0005-0000-0000-000059000000}"/>
    <cellStyle name="normální 5" xfId="58" xr:uid="{00000000-0005-0000-0000-00005A000000}"/>
    <cellStyle name="Normální 50" xfId="59" xr:uid="{00000000-0005-0000-0000-00005B000000}"/>
    <cellStyle name="Normální 51" xfId="60" xr:uid="{00000000-0005-0000-0000-00005C000000}"/>
    <cellStyle name="Normální 52" xfId="61" xr:uid="{00000000-0005-0000-0000-00005D000000}"/>
    <cellStyle name="Normální 53" xfId="62" xr:uid="{00000000-0005-0000-0000-00005E000000}"/>
    <cellStyle name="Normální 54" xfId="63" xr:uid="{00000000-0005-0000-0000-00005F000000}"/>
    <cellStyle name="Normální 55" xfId="64" xr:uid="{00000000-0005-0000-0000-000060000000}"/>
    <cellStyle name="Normální 56" xfId="65" xr:uid="{00000000-0005-0000-0000-000061000000}"/>
    <cellStyle name="Normální 57" xfId="66" xr:uid="{00000000-0005-0000-0000-000062000000}"/>
    <cellStyle name="Normální 58" xfId="67" xr:uid="{00000000-0005-0000-0000-000063000000}"/>
    <cellStyle name="Normální 59" xfId="68" xr:uid="{00000000-0005-0000-0000-000064000000}"/>
    <cellStyle name="normální 6" xfId="69" xr:uid="{00000000-0005-0000-0000-000065000000}"/>
    <cellStyle name="Normální 60" xfId="70" xr:uid="{00000000-0005-0000-0000-000066000000}"/>
    <cellStyle name="Normální 61" xfId="71" xr:uid="{00000000-0005-0000-0000-000067000000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7" xfId="81" xr:uid="{00000000-0005-0000-0000-00006D000000}"/>
    <cellStyle name="Normální 68" xfId="82" xr:uid="{00000000-0005-0000-0000-00006E000000}"/>
    <cellStyle name="Normální 69" xfId="83" xr:uid="{00000000-0005-0000-0000-00006F000000}"/>
    <cellStyle name="normální 7" xfId="76" xr:uid="{00000000-0005-0000-0000-000070000000}"/>
    <cellStyle name="Normální 70" xfId="84" xr:uid="{00000000-0005-0000-0000-000071000000}"/>
    <cellStyle name="Normální 71" xfId="85" xr:uid="{00000000-0005-0000-0000-000072000000}"/>
    <cellStyle name="Normální 72" xfId="86" xr:uid="{00000000-0005-0000-0000-000073000000}"/>
    <cellStyle name="Normální 73" xfId="87" xr:uid="{00000000-0005-0000-0000-000074000000}"/>
    <cellStyle name="Normální 74" xfId="88" xr:uid="{00000000-0005-0000-0000-000075000000}"/>
    <cellStyle name="Normální 75" xfId="89" xr:uid="{00000000-0005-0000-0000-000076000000}"/>
    <cellStyle name="Normální 76" xfId="90" xr:uid="{00000000-0005-0000-0000-000077000000}"/>
    <cellStyle name="Normální 77" xfId="91" xr:uid="{00000000-0005-0000-0000-000078000000}"/>
    <cellStyle name="Normální 78" xfId="92" xr:uid="{00000000-0005-0000-0000-000079000000}"/>
    <cellStyle name="Normální 79" xfId="93" xr:uid="{00000000-0005-0000-0000-00007A000000}"/>
    <cellStyle name="normální 8" xfId="77" xr:uid="{00000000-0005-0000-0000-00007B000000}"/>
    <cellStyle name="Normální 80" xfId="94" xr:uid="{00000000-0005-0000-0000-00007C000000}"/>
    <cellStyle name="Normální 81" xfId="95" xr:uid="{00000000-0005-0000-0000-00007D000000}"/>
    <cellStyle name="Normální 82" xfId="96" xr:uid="{00000000-0005-0000-0000-00007E000000}"/>
    <cellStyle name="Normální 83" xfId="97" xr:uid="{00000000-0005-0000-0000-00007F000000}"/>
    <cellStyle name="Normální 84" xfId="98" xr:uid="{00000000-0005-0000-0000-000080000000}"/>
    <cellStyle name="Normální 85" xfId="99" xr:uid="{00000000-0005-0000-0000-000081000000}"/>
    <cellStyle name="Normální 86" xfId="100" xr:uid="{00000000-0005-0000-0000-000082000000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77">
    <dxf>
      <font>
        <color rgb="FFFF0000"/>
      </font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009FE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FE3"/>
      <color rgb="FFCCFFFF"/>
      <color rgb="FFFF6600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'Oaza II'!barva_8"/><Relationship Id="rId21" Type="http://schemas.openxmlformats.org/officeDocument/2006/relationships/hyperlink" Target="#Lux!barva"/><Relationship Id="rId42" Type="http://schemas.openxmlformats.org/officeDocument/2006/relationships/hyperlink" Target="#Rex!barva_8"/><Relationship Id="rId47" Type="http://schemas.openxmlformats.org/officeDocument/2006/relationships/image" Target="../media/image24.png"/><Relationship Id="rId63" Type="http://schemas.openxmlformats.org/officeDocument/2006/relationships/hyperlink" Target="#Beta!barva_8"/><Relationship Id="rId68" Type="http://schemas.openxmlformats.org/officeDocument/2006/relationships/hyperlink" Target="#'Fiona II'!A1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9" Type="http://schemas.openxmlformats.org/officeDocument/2006/relationships/image" Target="../media/image15.png"/><Relationship Id="rId11" Type="http://schemas.openxmlformats.org/officeDocument/2006/relationships/hyperlink" Target="#Ergo!barva_8"/><Relationship Id="rId24" Type="http://schemas.openxmlformats.org/officeDocument/2006/relationships/image" Target="../media/image12.png"/><Relationship Id="rId32" Type="http://schemas.openxmlformats.org/officeDocument/2006/relationships/hyperlink" Target="#Julie!A1"/><Relationship Id="rId37" Type="http://schemas.openxmlformats.org/officeDocument/2006/relationships/image" Target="../media/image19.png"/><Relationship Id="rId40" Type="http://schemas.openxmlformats.org/officeDocument/2006/relationships/hyperlink" Target="#Prosper!A1"/><Relationship Id="rId45" Type="http://schemas.openxmlformats.org/officeDocument/2006/relationships/image" Target="../media/image23.png"/><Relationship Id="rId53" Type="http://schemas.openxmlformats.org/officeDocument/2006/relationships/hyperlink" Target="#'Rekord (bezr&#225;mov&#253;)'!barva_7"/><Relationship Id="rId58" Type="http://schemas.openxmlformats.org/officeDocument/2006/relationships/hyperlink" Target="#'Era (r&#225;mov&#225;)'!barva_7"/><Relationship Id="rId66" Type="http://schemas.openxmlformats.org/officeDocument/2006/relationships/hyperlink" Target="#Tytan!barva_8"/><Relationship Id="rId74" Type="http://schemas.openxmlformats.org/officeDocument/2006/relationships/image" Target="../media/image38.png"/><Relationship Id="rId5" Type="http://schemas.openxmlformats.org/officeDocument/2006/relationships/hyperlink" Target="#'Factor 18 II'!A1"/><Relationship Id="rId61" Type="http://schemas.openxmlformats.org/officeDocument/2006/relationships/hyperlink" Target="#Orient!A1"/><Relationship Id="rId19" Type="http://schemas.openxmlformats.org/officeDocument/2006/relationships/hyperlink" Target="#'Alfa II'!barva_8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image" Target="../media/image14.png"/><Relationship Id="rId30" Type="http://schemas.openxmlformats.org/officeDocument/2006/relationships/hyperlink" Target="#'Romeo II'!A1"/><Relationship Id="rId35" Type="http://schemas.openxmlformats.org/officeDocument/2006/relationships/image" Target="../media/image18.png"/><Relationship Id="rId43" Type="http://schemas.openxmlformats.org/officeDocument/2006/relationships/image" Target="../media/image22.png"/><Relationship Id="rId48" Type="http://schemas.openxmlformats.org/officeDocument/2006/relationships/hyperlink" Target="#'Unicomfort II'!A1"/><Relationship Id="rId56" Type="http://schemas.openxmlformats.org/officeDocument/2006/relationships/hyperlink" Target="#'Era (bezr&#225;mov&#225;)'!barva_7"/><Relationship Id="rId64" Type="http://schemas.openxmlformats.org/officeDocument/2006/relationships/hyperlink" Target="#Universal!A1"/><Relationship Id="rId69" Type="http://schemas.openxmlformats.org/officeDocument/2006/relationships/image" Target="../media/image35.png"/><Relationship Id="rId8" Type="http://schemas.openxmlformats.org/officeDocument/2006/relationships/image" Target="../media/image4.jpeg"/><Relationship Id="rId51" Type="http://schemas.openxmlformats.org/officeDocument/2006/relationships/image" Target="../media/image27.jpeg"/><Relationship Id="rId72" Type="http://schemas.openxmlformats.org/officeDocument/2006/relationships/image" Target="../media/image37.png"/><Relationship Id="rId3" Type="http://schemas.openxmlformats.org/officeDocument/2006/relationships/hyperlink" Target="#Gemini!A1"/><Relationship Id="rId12" Type="http://schemas.openxmlformats.org/officeDocument/2006/relationships/image" Target="../media/image6.jpeg"/><Relationship Id="rId17" Type="http://schemas.openxmlformats.org/officeDocument/2006/relationships/hyperlink" Target="#Polo!barva_7"/><Relationship Id="rId25" Type="http://schemas.openxmlformats.org/officeDocument/2006/relationships/image" Target="../media/image13.png"/><Relationship Id="rId33" Type="http://schemas.openxmlformats.org/officeDocument/2006/relationships/image" Target="../media/image17.png"/><Relationship Id="rId38" Type="http://schemas.openxmlformats.org/officeDocument/2006/relationships/hyperlink" Target="#Fox!A1"/><Relationship Id="rId46" Type="http://schemas.openxmlformats.org/officeDocument/2006/relationships/hyperlink" Target="#'Comfort II'!A1"/><Relationship Id="rId59" Type="http://schemas.openxmlformats.org/officeDocument/2006/relationships/hyperlink" Target="#Elegant!barva_8"/><Relationship Id="rId67" Type="http://schemas.openxmlformats.org/officeDocument/2006/relationships/image" Target="../media/image34.jpeg"/><Relationship Id="rId20" Type="http://schemas.openxmlformats.org/officeDocument/2006/relationships/image" Target="../media/image10.png"/><Relationship Id="rId41" Type="http://schemas.openxmlformats.org/officeDocument/2006/relationships/image" Target="../media/image21.jpeg"/><Relationship Id="rId54" Type="http://schemas.openxmlformats.org/officeDocument/2006/relationships/image" Target="../media/image29.png"/><Relationship Id="rId62" Type="http://schemas.openxmlformats.org/officeDocument/2006/relationships/image" Target="../media/image32.emf"/><Relationship Id="rId70" Type="http://schemas.openxmlformats.org/officeDocument/2006/relationships/hyperlink" Target="#'Focus II'!barva_8"/><Relationship Id="rId75" Type="http://schemas.openxmlformats.org/officeDocument/2006/relationships/hyperlink" Target="#Vitara!A1"/><Relationship Id="rId1" Type="http://schemas.openxmlformats.org/officeDocument/2006/relationships/hyperlink" Target="#System10!A1"/><Relationship Id="rId6" Type="http://schemas.openxmlformats.org/officeDocument/2006/relationships/image" Target="../media/image3.jpeg"/><Relationship Id="rId15" Type="http://schemas.openxmlformats.org/officeDocument/2006/relationships/hyperlink" Target="#Master!barva_7"/><Relationship Id="rId23" Type="http://schemas.openxmlformats.org/officeDocument/2006/relationships/hyperlink" Target="#Faworyt!A1"/><Relationship Id="rId28" Type="http://schemas.openxmlformats.org/officeDocument/2006/relationships/hyperlink" Target="#Beta!A1"/><Relationship Id="rId36" Type="http://schemas.openxmlformats.org/officeDocument/2006/relationships/hyperlink" Target="#Pax!barva"/><Relationship Id="rId49" Type="http://schemas.openxmlformats.org/officeDocument/2006/relationships/image" Target="../media/image25.png"/><Relationship Id="rId57" Type="http://schemas.openxmlformats.org/officeDocument/2006/relationships/image" Target="../media/image30.png"/><Relationship Id="rId10" Type="http://schemas.openxmlformats.org/officeDocument/2006/relationships/image" Target="../media/image5.emf"/><Relationship Id="rId31" Type="http://schemas.openxmlformats.org/officeDocument/2006/relationships/image" Target="../media/image16.png"/><Relationship Id="rId44" Type="http://schemas.openxmlformats.org/officeDocument/2006/relationships/hyperlink" Target="#'Minicomfort II'!A1"/><Relationship Id="rId52" Type="http://schemas.openxmlformats.org/officeDocument/2006/relationships/image" Target="../media/image28.jpeg"/><Relationship Id="rId60" Type="http://schemas.openxmlformats.org/officeDocument/2006/relationships/image" Target="../media/image31.emf"/><Relationship Id="rId65" Type="http://schemas.openxmlformats.org/officeDocument/2006/relationships/image" Target="../media/image33.jpeg"/><Relationship Id="rId73" Type="http://schemas.openxmlformats.org/officeDocument/2006/relationships/hyperlink" Target="#Lynx!A1"/><Relationship Id="rId4" Type="http://schemas.openxmlformats.org/officeDocument/2006/relationships/image" Target="../media/image2.png"/><Relationship Id="rId9" Type="http://schemas.openxmlformats.org/officeDocument/2006/relationships/hyperlink" Target="#Future!A1"/><Relationship Id="rId13" Type="http://schemas.openxmlformats.org/officeDocument/2006/relationships/hyperlink" Target="#Fala!barva_7"/><Relationship Id="rId18" Type="http://schemas.openxmlformats.org/officeDocument/2006/relationships/image" Target="../media/image9.png"/><Relationship Id="rId39" Type="http://schemas.openxmlformats.org/officeDocument/2006/relationships/image" Target="../media/image20.jpeg"/><Relationship Id="rId34" Type="http://schemas.openxmlformats.org/officeDocument/2006/relationships/hyperlink" Target="#Karat!barva_6"/><Relationship Id="rId50" Type="http://schemas.openxmlformats.org/officeDocument/2006/relationships/image" Target="../media/image26.jpeg"/><Relationship Id="rId55" Type="http://schemas.openxmlformats.org/officeDocument/2006/relationships/hyperlink" Target="#'Rekord (r&#225;mov&#253;)'!barva_7"/><Relationship Id="rId76" Type="http://schemas.openxmlformats.org/officeDocument/2006/relationships/image" Target="../media/image39.png"/><Relationship Id="rId7" Type="http://schemas.openxmlformats.org/officeDocument/2006/relationships/hyperlink" Target="#Victoria!A1"/><Relationship Id="rId71" Type="http://schemas.openxmlformats.org/officeDocument/2006/relationships/image" Target="../media/image36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8.png"/><Relationship Id="rId4" Type="http://schemas.openxmlformats.org/officeDocument/2006/relationships/image" Target="../media/image5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8.png"/><Relationship Id="rId4" Type="http://schemas.openxmlformats.org/officeDocument/2006/relationships/image" Target="../media/image5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openxmlformats.org/officeDocument/2006/relationships/image" Target="../media/image46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8.png"/><Relationship Id="rId4" Type="http://schemas.openxmlformats.org/officeDocument/2006/relationships/image" Target="../media/image5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57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58.png"/><Relationship Id="rId4" Type="http://schemas.openxmlformats.org/officeDocument/2006/relationships/image" Target="../media/image4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60.png"/><Relationship Id="rId1" Type="http://schemas.openxmlformats.org/officeDocument/2006/relationships/image" Target="../media/image59.png"/><Relationship Id="rId6" Type="http://schemas.openxmlformats.org/officeDocument/2006/relationships/image" Target="../media/image37.png"/><Relationship Id="rId5" Type="http://schemas.openxmlformats.org/officeDocument/2006/relationships/image" Target="../media/image62.png"/><Relationship Id="rId4" Type="http://schemas.openxmlformats.org/officeDocument/2006/relationships/image" Target="../media/image6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60.png"/><Relationship Id="rId1" Type="http://schemas.openxmlformats.org/officeDocument/2006/relationships/image" Target="../media/image63.png"/><Relationship Id="rId6" Type="http://schemas.openxmlformats.org/officeDocument/2006/relationships/image" Target="../media/image37.png"/><Relationship Id="rId5" Type="http://schemas.openxmlformats.org/officeDocument/2006/relationships/image" Target="../media/image65.png"/><Relationship Id="rId4" Type="http://schemas.openxmlformats.org/officeDocument/2006/relationships/image" Target="../media/image6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2" Type="http://schemas.openxmlformats.org/officeDocument/2006/relationships/image" Target="../media/image40.png"/><Relationship Id="rId1" Type="http://schemas.openxmlformats.org/officeDocument/2006/relationships/image" Target="../media/image66.jpeg"/><Relationship Id="rId6" Type="http://schemas.openxmlformats.org/officeDocument/2006/relationships/image" Target="../media/image37.png"/><Relationship Id="rId5" Type="http://schemas.openxmlformats.org/officeDocument/2006/relationships/image" Target="../media/image69.png"/><Relationship Id="rId4" Type="http://schemas.openxmlformats.org/officeDocument/2006/relationships/image" Target="../media/image68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40.png"/><Relationship Id="rId1" Type="http://schemas.openxmlformats.org/officeDocument/2006/relationships/image" Target="../media/image22.png"/><Relationship Id="rId6" Type="http://schemas.openxmlformats.org/officeDocument/2006/relationships/image" Target="../media/image37.png"/><Relationship Id="rId5" Type="http://schemas.openxmlformats.org/officeDocument/2006/relationships/image" Target="../media/image71.png"/><Relationship Id="rId4" Type="http://schemas.openxmlformats.org/officeDocument/2006/relationships/image" Target="../media/image68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10.png"/><Relationship Id="rId6" Type="http://schemas.openxmlformats.org/officeDocument/2006/relationships/image" Target="../media/image37.pn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12.png"/><Relationship Id="rId6" Type="http://schemas.openxmlformats.org/officeDocument/2006/relationships/image" Target="../media/image37.png"/><Relationship Id="rId5" Type="http://schemas.openxmlformats.org/officeDocument/2006/relationships/image" Target="../media/image75.png"/><Relationship Id="rId4" Type="http://schemas.openxmlformats.org/officeDocument/2006/relationships/image" Target="../media/image7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5" Type="http://schemas.openxmlformats.org/officeDocument/2006/relationships/image" Target="../media/image37.png"/><Relationship Id="rId4" Type="http://schemas.openxmlformats.org/officeDocument/2006/relationships/image" Target="../media/image4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34.jpeg"/><Relationship Id="rId6" Type="http://schemas.openxmlformats.org/officeDocument/2006/relationships/image" Target="../media/image37.png"/><Relationship Id="rId5" Type="http://schemas.openxmlformats.org/officeDocument/2006/relationships/image" Target="../media/image76.png"/><Relationship Id="rId4" Type="http://schemas.openxmlformats.org/officeDocument/2006/relationships/image" Target="../media/image7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14.png"/><Relationship Id="rId6" Type="http://schemas.openxmlformats.org/officeDocument/2006/relationships/image" Target="../media/image37.png"/><Relationship Id="rId5" Type="http://schemas.openxmlformats.org/officeDocument/2006/relationships/image" Target="../media/image77.png"/><Relationship Id="rId4" Type="http://schemas.openxmlformats.org/officeDocument/2006/relationships/image" Target="../media/image7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78.jpeg"/><Relationship Id="rId6" Type="http://schemas.openxmlformats.org/officeDocument/2006/relationships/image" Target="../media/image37.png"/><Relationship Id="rId5" Type="http://schemas.openxmlformats.org/officeDocument/2006/relationships/image" Target="../media/image79.png"/><Relationship Id="rId4" Type="http://schemas.openxmlformats.org/officeDocument/2006/relationships/image" Target="../media/image7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72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82.png"/><Relationship Id="rId4" Type="http://schemas.openxmlformats.org/officeDocument/2006/relationships/image" Target="../media/image8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15.png"/><Relationship Id="rId6" Type="http://schemas.openxmlformats.org/officeDocument/2006/relationships/image" Target="../media/image37.png"/><Relationship Id="rId5" Type="http://schemas.openxmlformats.org/officeDocument/2006/relationships/image" Target="../media/image83.png"/><Relationship Id="rId4" Type="http://schemas.openxmlformats.org/officeDocument/2006/relationships/image" Target="../media/image8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36.jpeg"/><Relationship Id="rId6" Type="http://schemas.openxmlformats.org/officeDocument/2006/relationships/image" Target="../media/image37.png"/><Relationship Id="rId5" Type="http://schemas.openxmlformats.org/officeDocument/2006/relationships/image" Target="../media/image84.png"/><Relationship Id="rId4" Type="http://schemas.openxmlformats.org/officeDocument/2006/relationships/image" Target="../media/image8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6.jpeg"/><Relationship Id="rId6" Type="http://schemas.openxmlformats.org/officeDocument/2006/relationships/image" Target="../media/image37.png"/><Relationship Id="rId5" Type="http://schemas.openxmlformats.org/officeDocument/2006/relationships/image" Target="../media/image85.png"/><Relationship Id="rId4" Type="http://schemas.openxmlformats.org/officeDocument/2006/relationships/image" Target="../media/image8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35.png"/><Relationship Id="rId6" Type="http://schemas.openxmlformats.org/officeDocument/2006/relationships/image" Target="../media/image37.png"/><Relationship Id="rId5" Type="http://schemas.openxmlformats.org/officeDocument/2006/relationships/image" Target="../media/image86.png"/><Relationship Id="rId4" Type="http://schemas.openxmlformats.org/officeDocument/2006/relationships/image" Target="../media/image8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40.png"/><Relationship Id="rId1" Type="http://schemas.openxmlformats.org/officeDocument/2006/relationships/image" Target="../media/image87.jpeg"/><Relationship Id="rId6" Type="http://schemas.openxmlformats.org/officeDocument/2006/relationships/image" Target="../media/image37.png"/><Relationship Id="rId5" Type="http://schemas.openxmlformats.org/officeDocument/2006/relationships/image" Target="../media/image88.png"/><Relationship Id="rId4" Type="http://schemas.openxmlformats.org/officeDocument/2006/relationships/image" Target="../media/image7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7" Type="http://schemas.openxmlformats.org/officeDocument/2006/relationships/image" Target="../media/image37.png"/><Relationship Id="rId2" Type="http://schemas.openxmlformats.org/officeDocument/2006/relationships/image" Target="../media/image40.png"/><Relationship Id="rId1" Type="http://schemas.openxmlformats.org/officeDocument/2006/relationships/image" Target="../media/image32.emf"/><Relationship Id="rId6" Type="http://schemas.openxmlformats.org/officeDocument/2006/relationships/image" Target="../media/image90.png"/><Relationship Id="rId5" Type="http://schemas.openxmlformats.org/officeDocument/2006/relationships/image" Target="../media/image88.png"/><Relationship Id="rId4" Type="http://schemas.openxmlformats.org/officeDocument/2006/relationships/image" Target="../media/image8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2" Type="http://schemas.openxmlformats.org/officeDocument/2006/relationships/image" Target="../media/image40.png"/><Relationship Id="rId1" Type="http://schemas.openxmlformats.org/officeDocument/2006/relationships/image" Target="../media/image31.emf"/><Relationship Id="rId6" Type="http://schemas.openxmlformats.org/officeDocument/2006/relationships/image" Target="../media/image37.png"/><Relationship Id="rId5" Type="http://schemas.openxmlformats.org/officeDocument/2006/relationships/image" Target="../media/image90.png"/><Relationship Id="rId4" Type="http://schemas.openxmlformats.org/officeDocument/2006/relationships/image" Target="../media/image9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2" Type="http://schemas.openxmlformats.org/officeDocument/2006/relationships/image" Target="../media/image40.png"/><Relationship Id="rId1" Type="http://schemas.openxmlformats.org/officeDocument/2006/relationships/image" Target="../media/image23.png"/><Relationship Id="rId6" Type="http://schemas.openxmlformats.org/officeDocument/2006/relationships/image" Target="../media/image37.pn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40.png"/><Relationship Id="rId1" Type="http://schemas.openxmlformats.org/officeDocument/2006/relationships/image" Target="../media/image24.png"/><Relationship Id="rId6" Type="http://schemas.openxmlformats.org/officeDocument/2006/relationships/image" Target="../media/image37.pn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40.png"/><Relationship Id="rId1" Type="http://schemas.openxmlformats.org/officeDocument/2006/relationships/image" Target="../media/image25.png"/><Relationship Id="rId6" Type="http://schemas.openxmlformats.org/officeDocument/2006/relationships/image" Target="../media/image37.pn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40.png"/><Relationship Id="rId5" Type="http://schemas.openxmlformats.org/officeDocument/2006/relationships/image" Target="../media/image37.png"/><Relationship Id="rId4" Type="http://schemas.openxmlformats.org/officeDocument/2006/relationships/image" Target="../media/image101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40.png"/><Relationship Id="rId5" Type="http://schemas.openxmlformats.org/officeDocument/2006/relationships/image" Target="../media/image37.png"/><Relationship Id="rId4" Type="http://schemas.openxmlformats.org/officeDocument/2006/relationships/image" Target="../media/image10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4.png"/><Relationship Id="rId1" Type="http://schemas.openxmlformats.org/officeDocument/2006/relationships/image" Target="../media/image40.png"/><Relationship Id="rId6" Type="http://schemas.openxmlformats.org/officeDocument/2006/relationships/image" Target="../media/image39.png"/><Relationship Id="rId5" Type="http://schemas.openxmlformats.org/officeDocument/2006/relationships/image" Target="../media/image37.png"/><Relationship Id="rId4" Type="http://schemas.openxmlformats.org/officeDocument/2006/relationships/image" Target="../media/image47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38.png"/><Relationship Id="rId5" Type="http://schemas.openxmlformats.org/officeDocument/2006/relationships/image" Target="../media/image37.png"/><Relationship Id="rId4" Type="http://schemas.openxmlformats.org/officeDocument/2006/relationships/image" Target="../media/image4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8.png"/><Relationship Id="rId4" Type="http://schemas.openxmlformats.org/officeDocument/2006/relationships/image" Target="../media/image4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4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50.png"/><Relationship Id="rId4" Type="http://schemas.openxmlformats.org/officeDocument/2006/relationships/image" Target="../media/image4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4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51.png"/><Relationship Id="rId4" Type="http://schemas.openxmlformats.org/officeDocument/2006/relationships/image" Target="../media/image4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37.png"/><Relationship Id="rId5" Type="http://schemas.openxmlformats.org/officeDocument/2006/relationships/image" Target="../media/image48.png"/><Relationship Id="rId4" Type="http://schemas.openxmlformats.org/officeDocument/2006/relationships/image" Target="../media/image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34785</xdr:colOff>
      <xdr:row>35</xdr:row>
      <xdr:rowOff>116289</xdr:rowOff>
    </xdr:from>
    <xdr:to>
      <xdr:col>9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60624</xdr:colOff>
      <xdr:row>35</xdr:row>
      <xdr:rowOff>58971</xdr:rowOff>
    </xdr:from>
    <xdr:to>
      <xdr:col>7</xdr:col>
      <xdr:colOff>671549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695031</xdr:colOff>
      <xdr:row>24</xdr:row>
      <xdr:rowOff>1225062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144780</xdr:colOff>
      <xdr:row>40</xdr:row>
      <xdr:rowOff>45720</xdr:rowOff>
    </xdr:from>
    <xdr:to>
      <xdr:col>5</xdr:col>
      <xdr:colOff>701040</xdr:colOff>
      <xdr:row>40</xdr:row>
      <xdr:rowOff>1196340</xdr:rowOff>
    </xdr:to>
    <xdr:pic>
      <xdr:nvPicPr>
        <xdr:cNvPr id="16" name="Obrázek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40430" y="12447270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678180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640080</xdr:colOff>
      <xdr:row>24</xdr:row>
      <xdr:rowOff>1226820</xdr:rowOff>
    </xdr:to>
    <xdr:pic>
      <xdr:nvPicPr>
        <xdr:cNvPr id="21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678180</xdr:colOff>
      <xdr:row>29</xdr:row>
      <xdr:rowOff>1203960</xdr:rowOff>
    </xdr:to>
    <xdr:pic>
      <xdr:nvPicPr>
        <xdr:cNvPr id="22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</xdr:colOff>
      <xdr:row>35</xdr:row>
      <xdr:rowOff>60960</xdr:rowOff>
    </xdr:from>
    <xdr:to>
      <xdr:col>3</xdr:col>
      <xdr:colOff>762000</xdr:colOff>
      <xdr:row>35</xdr:row>
      <xdr:rowOff>1325880</xdr:rowOff>
    </xdr:to>
    <xdr:pic>
      <xdr:nvPicPr>
        <xdr:cNvPr id="24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693420</xdr:colOff>
      <xdr:row>24</xdr:row>
      <xdr:rowOff>1272540</xdr:rowOff>
    </xdr:to>
    <xdr:pic>
      <xdr:nvPicPr>
        <xdr:cNvPr id="25" name="Obrázek 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</xdr:colOff>
      <xdr:row>35</xdr:row>
      <xdr:rowOff>45720</xdr:rowOff>
    </xdr:from>
    <xdr:to>
      <xdr:col>1</xdr:col>
      <xdr:colOff>739140</xdr:colOff>
      <xdr:row>35</xdr:row>
      <xdr:rowOff>1310640</xdr:rowOff>
    </xdr:to>
    <xdr:pic>
      <xdr:nvPicPr>
        <xdr:cNvPr id="26" name="Obrázek 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612872</xdr:colOff>
      <xdr:row>51</xdr:row>
      <xdr:rowOff>379054</xdr:rowOff>
    </xdr:from>
    <xdr:to>
      <xdr:col>7</xdr:col>
      <xdr:colOff>619460</xdr:colOff>
      <xdr:row>51</xdr:row>
      <xdr:rowOff>380904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91441</xdr:rowOff>
    </xdr:from>
    <xdr:to>
      <xdr:col>5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640793</xdr:colOff>
      <xdr:row>40</xdr:row>
      <xdr:rowOff>1282860</xdr:rowOff>
    </xdr:to>
    <xdr:pic>
      <xdr:nvPicPr>
        <xdr:cNvPr id="37" name="Obrázek 4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1226820</xdr:rowOff>
    </xdr:to>
    <xdr:pic>
      <xdr:nvPicPr>
        <xdr:cNvPr id="38" name="Obrázek 42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693420</xdr:colOff>
      <xdr:row>24</xdr:row>
      <xdr:rowOff>1264920</xdr:rowOff>
    </xdr:to>
    <xdr:pic>
      <xdr:nvPicPr>
        <xdr:cNvPr id="39" name="Obrázek 43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758421</xdr:colOff>
      <xdr:row>29</xdr:row>
      <xdr:rowOff>1267557</xdr:rowOff>
    </xdr:to>
    <xdr:pic>
      <xdr:nvPicPr>
        <xdr:cNvPr id="40" name="Obrázek 3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737153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2681" y="3303932"/>
          <a:ext cx="704022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59</xdr:row>
      <xdr:rowOff>141515</xdr:rowOff>
    </xdr:from>
    <xdr:to>
      <xdr:col>3</xdr:col>
      <xdr:colOff>496389</xdr:colOff>
      <xdr:row>68</xdr:row>
      <xdr:rowOff>25255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009429"/>
          <a:ext cx="1813560" cy="2724912"/>
        </a:xfrm>
        <a:prstGeom prst="rect">
          <a:avLst/>
        </a:prstGeom>
      </xdr:spPr>
    </xdr:pic>
    <xdr:clientData/>
  </xdr:twoCellAnchor>
  <xdr:twoCellAnchor editAs="oneCell">
    <xdr:from>
      <xdr:col>3</xdr:col>
      <xdr:colOff>367716</xdr:colOff>
      <xdr:row>59</xdr:row>
      <xdr:rowOff>8487</xdr:rowOff>
    </xdr:from>
    <xdr:to>
      <xdr:col>11</xdr:col>
      <xdr:colOff>533401</xdr:colOff>
      <xdr:row>67</xdr:row>
      <xdr:rowOff>293256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4887" y="20876401"/>
          <a:ext cx="4334914" cy="2810256"/>
        </a:xfrm>
        <a:prstGeom prst="rect">
          <a:avLst/>
        </a:prstGeom>
      </xdr:spPr>
    </xdr:pic>
    <xdr:clientData/>
  </xdr:twoCellAnchor>
  <xdr:twoCellAnchor editAs="oneCell">
    <xdr:from>
      <xdr:col>11</xdr:col>
      <xdr:colOff>575464</xdr:colOff>
      <xdr:row>60</xdr:row>
      <xdr:rowOff>174172</xdr:rowOff>
    </xdr:from>
    <xdr:to>
      <xdr:col>16</xdr:col>
      <xdr:colOff>174172</xdr:colOff>
      <xdr:row>65</xdr:row>
      <xdr:rowOff>239486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864" y="21357772"/>
          <a:ext cx="2439879" cy="1643742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717174</xdr:colOff>
      <xdr:row>45</xdr:row>
      <xdr:rowOff>1109383</xdr:rowOff>
    </xdr:to>
    <xdr:pic>
      <xdr:nvPicPr>
        <xdr:cNvPr id="23" name="Obrázek 2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9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739589</xdr:colOff>
      <xdr:row>45</xdr:row>
      <xdr:rowOff>1299883</xdr:rowOff>
    </xdr:to>
    <xdr:pic>
      <xdr:nvPicPr>
        <xdr:cNvPr id="28" name="Obrázek 27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7</xdr:col>
      <xdr:colOff>62196</xdr:colOff>
      <xdr:row>45</xdr:row>
      <xdr:rowOff>96372</xdr:rowOff>
    </xdr:from>
    <xdr:to>
      <xdr:col>7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3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124609</xdr:colOff>
      <xdr:row>40</xdr:row>
      <xdr:rowOff>76200</xdr:rowOff>
    </xdr:from>
    <xdr:ext cx="609600" cy="1234440"/>
    <xdr:pic>
      <xdr:nvPicPr>
        <xdr:cNvPr id="48" name="Obrázek 26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A69B8610-25E5-4DDF-9AB6-1ACB6447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0162" y="12841941"/>
          <a:ext cx="6096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68580</xdr:colOff>
      <xdr:row>40</xdr:row>
      <xdr:rowOff>68580</xdr:rowOff>
    </xdr:from>
    <xdr:ext cx="609600" cy="1234440"/>
    <xdr:pic>
      <xdr:nvPicPr>
        <xdr:cNvPr id="49" name="Obrázek 27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E3D5EB6A-2983-4BC0-8861-9046CCAB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15074" y="12834321"/>
          <a:ext cx="6096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13</xdr:col>
      <xdr:colOff>7620</xdr:colOff>
      <xdr:row>35</xdr:row>
      <xdr:rowOff>25101</xdr:rowOff>
    </xdr:from>
    <xdr:to>
      <xdr:col>13</xdr:col>
      <xdr:colOff>777240</xdr:colOff>
      <xdr:row>35</xdr:row>
      <xdr:rowOff>1305261</xdr:rowOff>
    </xdr:to>
    <xdr:pic>
      <xdr:nvPicPr>
        <xdr:cNvPr id="64" name="Picture 20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80138" y="10666207"/>
          <a:ext cx="76962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17928</xdr:colOff>
      <xdr:row>40</xdr:row>
      <xdr:rowOff>89646</xdr:rowOff>
    </xdr:from>
    <xdr:to>
      <xdr:col>2</xdr:col>
      <xdr:colOff>1231</xdr:colOff>
      <xdr:row>40</xdr:row>
      <xdr:rowOff>1278366</xdr:rowOff>
    </xdr:to>
    <xdr:pic>
      <xdr:nvPicPr>
        <xdr:cNvPr id="66" name="Obrázek 4" descr="Focus.jpg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517340</xdr:colOff>
      <xdr:row>0</xdr:row>
      <xdr:rowOff>134470</xdr:rowOff>
    </xdr:from>
    <xdr:to>
      <xdr:col>16</xdr:col>
      <xdr:colOff>30130</xdr:colOff>
      <xdr:row>2</xdr:row>
      <xdr:rowOff>293470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94D69E0-8A3B-485E-AA9E-7EDEE0B2A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859869" y="134470"/>
          <a:ext cx="1283320" cy="540000"/>
        </a:xfrm>
        <a:prstGeom prst="rect">
          <a:avLst/>
        </a:prstGeom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1569152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654423</xdr:colOff>
      <xdr:row>13</xdr:row>
      <xdr:rowOff>181538</xdr:rowOff>
    </xdr:from>
    <xdr:to>
      <xdr:col>7</xdr:col>
      <xdr:colOff>274465</xdr:colOff>
      <xdr:row>23</xdr:row>
      <xdr:rowOff>111061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5070" y="2691656"/>
          <a:ext cx="1592277" cy="1845729"/>
        </a:xfrm>
        <a:prstGeom prst="rect">
          <a:avLst/>
        </a:prstGeom>
      </xdr:spPr>
    </xdr:pic>
    <xdr:clientData/>
  </xdr:twoCellAnchor>
  <xdr:twoCellAnchor editAs="oneCell">
    <xdr:from>
      <xdr:col>2</xdr:col>
      <xdr:colOff>474281</xdr:colOff>
      <xdr:row>16</xdr:row>
      <xdr:rowOff>42229</xdr:rowOff>
    </xdr:from>
    <xdr:to>
      <xdr:col>4</xdr:col>
      <xdr:colOff>340661</xdr:colOff>
      <xdr:row>25</xdr:row>
      <xdr:rowOff>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3293" y="2893005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5</xdr:row>
      <xdr:rowOff>134470</xdr:rowOff>
    </xdr:from>
    <xdr:to>
      <xdr:col>5</xdr:col>
      <xdr:colOff>558359</xdr:colOff>
      <xdr:row>17</xdr:row>
      <xdr:rowOff>94315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7109012" y="1335741"/>
          <a:ext cx="1257606" cy="2156199"/>
        </a:xfrm>
        <a:prstGeom prst="rect">
          <a:avLst/>
        </a:prstGeom>
      </xdr:spPr>
    </xdr:pic>
    <xdr:clientData/>
  </xdr:twoCellAnchor>
  <xdr:twoCellAnchor editAs="oneCell">
    <xdr:from>
      <xdr:col>0</xdr:col>
      <xdr:colOff>997324</xdr:colOff>
      <xdr:row>15</xdr:row>
      <xdr:rowOff>33617</xdr:rowOff>
    </xdr:from>
    <xdr:to>
      <xdr:col>1</xdr:col>
      <xdr:colOff>8803</xdr:colOff>
      <xdr:row>24</xdr:row>
      <xdr:rowOff>87368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7324" y="3003176"/>
          <a:ext cx="1644861" cy="1600163"/>
        </a:xfrm>
        <a:prstGeom prst="rect">
          <a:avLst/>
        </a:prstGeom>
      </xdr:spPr>
    </xdr:pic>
    <xdr:clientData/>
  </xdr:twoCellAnchor>
  <xdr:twoCellAnchor editAs="oneCell">
    <xdr:from>
      <xdr:col>8</xdr:col>
      <xdr:colOff>134471</xdr:colOff>
      <xdr:row>0</xdr:row>
      <xdr:rowOff>112059</xdr:rowOff>
    </xdr:from>
    <xdr:to>
      <xdr:col>8</xdr:col>
      <xdr:colOff>1417791</xdr:colOff>
      <xdr:row>2</xdr:row>
      <xdr:rowOff>248647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ED533AD-DBCD-4730-B6B7-328AEC1B4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22324" y="112059"/>
          <a:ext cx="1283320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1569600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708212</xdr:colOff>
      <xdr:row>13</xdr:row>
      <xdr:rowOff>228603</xdr:rowOff>
    </xdr:from>
    <xdr:to>
      <xdr:col>8</xdr:col>
      <xdr:colOff>3283</xdr:colOff>
      <xdr:row>24</xdr:row>
      <xdr:rowOff>1244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20418" y="2738721"/>
          <a:ext cx="1592277" cy="1845729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4</xdr:col>
      <xdr:colOff>331698</xdr:colOff>
      <xdr:row>25</xdr:row>
      <xdr:rowOff>8966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4</xdr:col>
      <xdr:colOff>250647</xdr:colOff>
      <xdr:row>5</xdr:row>
      <xdr:rowOff>152399</xdr:rowOff>
    </xdr:from>
    <xdr:to>
      <xdr:col>5</xdr:col>
      <xdr:colOff>606403</xdr:colOff>
      <xdr:row>17</xdr:row>
      <xdr:rowOff>71717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72788" y="1353670"/>
          <a:ext cx="1359804" cy="2115672"/>
        </a:xfrm>
        <a:prstGeom prst="rect">
          <a:avLst/>
        </a:prstGeom>
      </xdr:spPr>
    </xdr:pic>
    <xdr:clientData/>
  </xdr:twoCellAnchor>
  <xdr:twoCellAnchor editAs="oneCell">
    <xdr:from>
      <xdr:col>0</xdr:col>
      <xdr:colOff>919453</xdr:colOff>
      <xdr:row>15</xdr:row>
      <xdr:rowOff>16809</xdr:rowOff>
    </xdr:from>
    <xdr:to>
      <xdr:col>1</xdr:col>
      <xdr:colOff>20579</xdr:colOff>
      <xdr:row>24</xdr:row>
      <xdr:rowOff>40353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9453" y="3053603"/>
          <a:ext cx="1644861" cy="1569956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0</xdr:row>
      <xdr:rowOff>56029</xdr:rowOff>
    </xdr:from>
    <xdr:to>
      <xdr:col>8</xdr:col>
      <xdr:colOff>1473820</xdr:colOff>
      <xdr:row>2</xdr:row>
      <xdr:rowOff>192617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B9573B72-F9D4-43DD-A8FD-52AD2524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99912" y="56029"/>
          <a:ext cx="1283320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4</xdr:col>
      <xdr:colOff>280147</xdr:colOff>
      <xdr:row>24</xdr:row>
      <xdr:rowOff>152398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940225</xdr:colOff>
      <xdr:row>5</xdr:row>
      <xdr:rowOff>206189</xdr:rowOff>
    </xdr:from>
    <xdr:to>
      <xdr:col>4</xdr:col>
      <xdr:colOff>895989</xdr:colOff>
      <xdr:row>14</xdr:row>
      <xdr:rowOff>17930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13496" y="1532965"/>
          <a:ext cx="925073" cy="1461247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101179</xdr:colOff>
      <xdr:row>21</xdr:row>
      <xdr:rowOff>76340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941294</xdr:colOff>
      <xdr:row>15</xdr:row>
      <xdr:rowOff>100853</xdr:rowOff>
    </xdr:from>
    <xdr:to>
      <xdr:col>0</xdr:col>
      <xdr:colOff>2586155</xdr:colOff>
      <xdr:row>24</xdr:row>
      <xdr:rowOff>154604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1294" y="3260912"/>
          <a:ext cx="1644861" cy="1600163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638735</xdr:colOff>
      <xdr:row>0</xdr:row>
      <xdr:rowOff>123265</xdr:rowOff>
    </xdr:from>
    <xdr:to>
      <xdr:col>8</xdr:col>
      <xdr:colOff>588555</xdr:colOff>
      <xdr:row>2</xdr:row>
      <xdr:rowOff>259853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ABCB9EBD-9E26-4CAA-9BC6-60A5BF706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01735" y="123265"/>
          <a:ext cx="1283320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200810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115692</xdr:colOff>
      <xdr:row>16</xdr:row>
      <xdr:rowOff>78085</xdr:rowOff>
    </xdr:from>
    <xdr:to>
      <xdr:col>4</xdr:col>
      <xdr:colOff>4482</xdr:colOff>
      <xdr:row>25</xdr:row>
      <xdr:rowOff>35858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14704" y="2758532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0</xdr:col>
      <xdr:colOff>856128</xdr:colOff>
      <xdr:row>15</xdr:row>
      <xdr:rowOff>57807</xdr:rowOff>
    </xdr:from>
    <xdr:to>
      <xdr:col>1</xdr:col>
      <xdr:colOff>10643</xdr:colOff>
      <xdr:row>24</xdr:row>
      <xdr:rowOff>100853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856128" y="3105807"/>
          <a:ext cx="1829398" cy="1582812"/>
        </a:xfrm>
        <a:prstGeom prst="rect">
          <a:avLst/>
        </a:prstGeom>
      </xdr:spPr>
    </xdr:pic>
    <xdr:clientData/>
  </xdr:twoCellAnchor>
  <xdr:twoCellAnchor editAs="oneCell">
    <xdr:from>
      <xdr:col>3</xdr:col>
      <xdr:colOff>558436</xdr:colOff>
      <xdr:row>6</xdr:row>
      <xdr:rowOff>134470</xdr:rowOff>
    </xdr:from>
    <xdr:to>
      <xdr:col>4</xdr:col>
      <xdr:colOff>875595</xdr:colOff>
      <xdr:row>15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21354" y="1398494"/>
          <a:ext cx="1267419" cy="1667435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638736</xdr:colOff>
      <xdr:row>0</xdr:row>
      <xdr:rowOff>112059</xdr:rowOff>
    </xdr:from>
    <xdr:to>
      <xdr:col>8</xdr:col>
      <xdr:colOff>588556</xdr:colOff>
      <xdr:row>2</xdr:row>
      <xdr:rowOff>248647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9515C1FF-7778-46E4-8E10-3FE19680E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80177" y="112059"/>
          <a:ext cx="1283320" cy="54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6</xdr:row>
      <xdr:rowOff>19049</xdr:rowOff>
    </xdr:from>
    <xdr:to>
      <xdr:col>4</xdr:col>
      <xdr:colOff>894789</xdr:colOff>
      <xdr:row>15</xdr:row>
      <xdr:rowOff>91604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72275" y="1276349"/>
          <a:ext cx="857250" cy="1672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24</xdr:row>
      <xdr:rowOff>561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17</xdr:row>
      <xdr:rowOff>89647</xdr:rowOff>
    </xdr:from>
    <xdr:to>
      <xdr:col>0</xdr:col>
      <xdr:colOff>2741324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19718"/>
          <a:ext cx="2037594" cy="1618842"/>
        </a:xfrm>
        <a:prstGeom prst="rect">
          <a:avLst/>
        </a:prstGeom>
      </xdr:spPr>
    </xdr:pic>
    <xdr:clientData/>
  </xdr:twoCellAnchor>
  <xdr:twoCellAnchor editAs="oneCell">
    <xdr:from>
      <xdr:col>6</xdr:col>
      <xdr:colOff>683559</xdr:colOff>
      <xdr:row>0</xdr:row>
      <xdr:rowOff>134471</xdr:rowOff>
    </xdr:from>
    <xdr:to>
      <xdr:col>8</xdr:col>
      <xdr:colOff>625759</xdr:colOff>
      <xdr:row>2</xdr:row>
      <xdr:rowOff>286299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F79A8BD-922E-45A7-8D75-C68C063F8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37912" y="134471"/>
          <a:ext cx="1283320" cy="54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14</xdr:row>
      <xdr:rowOff>20629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265356</xdr:colOff>
      <xdr:row>19</xdr:row>
      <xdr:rowOff>135368</xdr:rowOff>
    </xdr:from>
    <xdr:to>
      <xdr:col>2</xdr:col>
      <xdr:colOff>2460141</xdr:colOff>
      <xdr:row>27</xdr:row>
      <xdr:rowOff>56591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9032" y="2768750"/>
          <a:ext cx="2190975" cy="132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739588</xdr:colOff>
      <xdr:row>17</xdr:row>
      <xdr:rowOff>118782</xdr:rowOff>
    </xdr:from>
    <xdr:to>
      <xdr:col>0</xdr:col>
      <xdr:colOff>2685602</xdr:colOff>
      <xdr:row>26</xdr:row>
      <xdr:rowOff>133395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9588" y="3489511"/>
          <a:ext cx="1949824" cy="1596211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934581</xdr:colOff>
      <xdr:row>21</xdr:row>
      <xdr:rowOff>17259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616323</xdr:colOff>
      <xdr:row>0</xdr:row>
      <xdr:rowOff>123265</xdr:rowOff>
    </xdr:from>
    <xdr:to>
      <xdr:col>8</xdr:col>
      <xdr:colOff>554713</xdr:colOff>
      <xdr:row>2</xdr:row>
      <xdr:rowOff>246518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98D45E2A-7E92-4F99-B1D7-05E5738F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38764" y="123265"/>
          <a:ext cx="1283320" cy="54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591670</xdr:colOff>
      <xdr:row>5</xdr:row>
      <xdr:rowOff>83483</xdr:rowOff>
    </xdr:from>
    <xdr:to>
      <xdr:col>5</xdr:col>
      <xdr:colOff>2689</xdr:colOff>
      <xdr:row>13</xdr:row>
      <xdr:rowOff>313764</xdr:rowOff>
    </xdr:to>
    <xdr:pic>
      <xdr:nvPicPr>
        <xdr:cNvPr id="282840" name="Obrázek 4" descr="Prosper.jpg">
          <a:extLst>
            <a:ext uri="{FF2B5EF4-FFF2-40B4-BE49-F238E27FC236}">
              <a16:creationId xmlns:a16="http://schemas.microsoft.com/office/drawing/2014/main" id="{00000000-0008-0000-1300-0000D8500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90105" y="1284461"/>
          <a:ext cx="1241474" cy="162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4</xdr:col>
      <xdr:colOff>851647</xdr:colOff>
      <xdr:row>10</xdr:row>
      <xdr:rowOff>9724</xdr:rowOff>
    </xdr:from>
    <xdr:to>
      <xdr:col>7</xdr:col>
      <xdr:colOff>89647</xdr:colOff>
      <xdr:row>20</xdr:row>
      <xdr:rowOff>192541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310E3ED-791A-45FC-B597-0FD33B55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3788" y="2089536"/>
          <a:ext cx="2097741" cy="2065406"/>
        </a:xfrm>
        <a:prstGeom prst="rect">
          <a:avLst/>
        </a:prstGeom>
      </xdr:spPr>
    </xdr:pic>
    <xdr:clientData/>
  </xdr:twoCellAnchor>
  <xdr:twoCellAnchor editAs="oneCell">
    <xdr:from>
      <xdr:col>2</xdr:col>
      <xdr:colOff>582706</xdr:colOff>
      <xdr:row>16</xdr:row>
      <xdr:rowOff>17929</xdr:rowOff>
    </xdr:from>
    <xdr:to>
      <xdr:col>3</xdr:col>
      <xdr:colOff>511343</xdr:colOff>
      <xdr:row>23</xdr:row>
      <xdr:rowOff>99255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F8DC55F-5748-44AC-B853-724A05E4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81718" y="2913529"/>
          <a:ext cx="2492543" cy="1336384"/>
        </a:xfrm>
        <a:prstGeom prst="rect">
          <a:avLst/>
        </a:prstGeom>
      </xdr:spPr>
    </xdr:pic>
    <xdr:clientData/>
  </xdr:twoCellAnchor>
  <xdr:twoCellAnchor editAs="oneCell">
    <xdr:from>
      <xdr:col>0</xdr:col>
      <xdr:colOff>546848</xdr:colOff>
      <xdr:row>14</xdr:row>
      <xdr:rowOff>44825</xdr:rowOff>
    </xdr:from>
    <xdr:to>
      <xdr:col>0</xdr:col>
      <xdr:colOff>2451827</xdr:colOff>
      <xdr:row>23</xdr:row>
      <xdr:rowOff>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27A3B-C6E7-43C6-9275-789CC2C8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6848" y="2949390"/>
          <a:ext cx="1904979" cy="1550894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784412</xdr:colOff>
      <xdr:row>0</xdr:row>
      <xdr:rowOff>123265</xdr:rowOff>
    </xdr:from>
    <xdr:to>
      <xdr:col>8</xdr:col>
      <xdr:colOff>734232</xdr:colOff>
      <xdr:row>2</xdr:row>
      <xdr:rowOff>259853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A8759401-84A6-41B7-A666-8136CAC9E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24147" y="123265"/>
          <a:ext cx="1283320" cy="54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78440</xdr:colOff>
      <xdr:row>4</xdr:row>
      <xdr:rowOff>205326</xdr:rowOff>
    </xdr:from>
    <xdr:to>
      <xdr:col>4</xdr:col>
      <xdr:colOff>815787</xdr:colOff>
      <xdr:row>13</xdr:row>
      <xdr:rowOff>253074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00581" y="1003185"/>
          <a:ext cx="737347" cy="1643466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4</xdr:col>
      <xdr:colOff>864037</xdr:colOff>
      <xdr:row>10</xdr:row>
      <xdr:rowOff>38099</xdr:rowOff>
    </xdr:from>
    <xdr:to>
      <xdr:col>6</xdr:col>
      <xdr:colOff>853441</xdr:colOff>
      <xdr:row>20</xdr:row>
      <xdr:rowOff>1948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9B34EC7-5B76-406A-AA2A-38139482C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83937" y="2103119"/>
          <a:ext cx="1810583" cy="1835681"/>
        </a:xfrm>
        <a:prstGeom prst="rect">
          <a:avLst/>
        </a:prstGeom>
      </xdr:spPr>
    </xdr:pic>
    <xdr:clientData/>
  </xdr:twoCellAnchor>
  <xdr:twoCellAnchor editAs="oneCell">
    <xdr:from>
      <xdr:col>2</xdr:col>
      <xdr:colOff>371061</xdr:colOff>
      <xdr:row>16</xdr:row>
      <xdr:rowOff>0</xdr:rowOff>
    </xdr:from>
    <xdr:to>
      <xdr:col>3</xdr:col>
      <xdr:colOff>23741</xdr:colOff>
      <xdr:row>23</xdr:row>
      <xdr:rowOff>103933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D5D5A94-9F7A-4962-9F6F-4E386469A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57600" y="2888974"/>
          <a:ext cx="2492543" cy="1336384"/>
        </a:xfrm>
        <a:prstGeom prst="rect">
          <a:avLst/>
        </a:prstGeom>
      </xdr:spPr>
    </xdr:pic>
    <xdr:clientData/>
  </xdr:twoCellAnchor>
  <xdr:twoCellAnchor editAs="oneCell">
    <xdr:from>
      <xdr:col>0</xdr:col>
      <xdr:colOff>751425</xdr:colOff>
      <xdr:row>14</xdr:row>
      <xdr:rowOff>94713</xdr:rowOff>
    </xdr:from>
    <xdr:to>
      <xdr:col>1</xdr:col>
      <xdr:colOff>298</xdr:colOff>
      <xdr:row>23</xdr:row>
      <xdr:rowOff>127445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083B62B-29DE-49F9-BCCD-61CF1E974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425" y="2999278"/>
          <a:ext cx="1795410" cy="1628449"/>
        </a:xfrm>
        <a:prstGeom prst="rect">
          <a:avLst/>
        </a:prstGeom>
      </xdr:spPr>
    </xdr:pic>
    <xdr:clientData/>
  </xdr:twoCellAnchor>
  <xdr:twoCellAnchor editAs="oneCell">
    <xdr:from>
      <xdr:col>6</xdr:col>
      <xdr:colOff>840442</xdr:colOff>
      <xdr:row>0</xdr:row>
      <xdr:rowOff>100853</xdr:rowOff>
    </xdr:from>
    <xdr:to>
      <xdr:col>8</xdr:col>
      <xdr:colOff>790262</xdr:colOff>
      <xdr:row>2</xdr:row>
      <xdr:rowOff>237441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C7EDB08-F6C8-411F-A102-55544AA4F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92236" y="100853"/>
          <a:ext cx="1283320" cy="54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250371</xdr:colOff>
      <xdr:row>17</xdr:row>
      <xdr:rowOff>47180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87855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816458</xdr:colOff>
      <xdr:row>9</xdr:row>
      <xdr:rowOff>157860</xdr:rowOff>
    </xdr:from>
    <xdr:to>
      <xdr:col>8</xdr:col>
      <xdr:colOff>1545</xdr:colOff>
      <xdr:row>20</xdr:row>
      <xdr:rowOff>160452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66011" y="2174919"/>
          <a:ext cx="1802781" cy="2028615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14</xdr:row>
      <xdr:rowOff>38224</xdr:rowOff>
    </xdr:from>
    <xdr:to>
      <xdr:col>3</xdr:col>
      <xdr:colOff>7620</xdr:colOff>
      <xdr:row>22</xdr:row>
      <xdr:rowOff>128319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404692</xdr:colOff>
      <xdr:row>14</xdr:row>
      <xdr:rowOff>51247</xdr:rowOff>
    </xdr:from>
    <xdr:to>
      <xdr:col>2</xdr:col>
      <xdr:colOff>123584</xdr:colOff>
      <xdr:row>20</xdr:row>
      <xdr:rowOff>44160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04692" y="3063388"/>
          <a:ext cx="3340633" cy="102385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0</xdr:row>
      <xdr:rowOff>145677</xdr:rowOff>
    </xdr:from>
    <xdr:to>
      <xdr:col>8</xdr:col>
      <xdr:colOff>1473820</xdr:colOff>
      <xdr:row>2</xdr:row>
      <xdr:rowOff>282265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31A1E5F-481D-4C91-9ABB-5365D2F0F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50706" y="145677"/>
          <a:ext cx="1283320" cy="54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143436</xdr:colOff>
      <xdr:row>15</xdr:row>
      <xdr:rowOff>105867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163709</xdr:colOff>
      <xdr:row>3</xdr:row>
      <xdr:rowOff>133382</xdr:rowOff>
    </xdr:from>
    <xdr:to>
      <xdr:col>8</xdr:col>
      <xdr:colOff>1561084</xdr:colOff>
      <xdr:row>5</xdr:row>
      <xdr:rowOff>121476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93944" y="868488"/>
          <a:ext cx="2742081" cy="543905"/>
        </a:xfrm>
        <a:prstGeom prst="rect">
          <a:avLst/>
        </a:prstGeom>
      </xdr:spPr>
    </xdr:pic>
    <xdr:clientData/>
  </xdr:twoCellAnchor>
  <xdr:twoCellAnchor editAs="oneCell">
    <xdr:from>
      <xdr:col>5</xdr:col>
      <xdr:colOff>546847</xdr:colOff>
      <xdr:row>12</xdr:row>
      <xdr:rowOff>171407</xdr:rowOff>
    </xdr:from>
    <xdr:to>
      <xdr:col>7</xdr:col>
      <xdr:colOff>314640</xdr:colOff>
      <xdr:row>21</xdr:row>
      <xdr:rowOff>199560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14329" y="2672560"/>
          <a:ext cx="1775887" cy="200935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3</xdr:col>
      <xdr:colOff>244609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19</xdr:row>
      <xdr:rowOff>170331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212912</xdr:colOff>
      <xdr:row>0</xdr:row>
      <xdr:rowOff>123265</xdr:rowOff>
    </xdr:from>
    <xdr:to>
      <xdr:col>8</xdr:col>
      <xdr:colOff>1496232</xdr:colOff>
      <xdr:row>2</xdr:row>
      <xdr:rowOff>259853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9523F9C-ECBC-40BF-B221-389C8F3D5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37794" y="123265"/>
          <a:ext cx="128332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163125</xdr:colOff>
      <xdr:row>12</xdr:row>
      <xdr:rowOff>353869</xdr:rowOff>
    </xdr:from>
    <xdr:to>
      <xdr:col>7</xdr:col>
      <xdr:colOff>315669</xdr:colOff>
      <xdr:row>24</xdr:row>
      <xdr:rowOff>226730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6684" y="2897604"/>
          <a:ext cx="2122874" cy="2461420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934771</xdr:colOff>
      <xdr:row>22</xdr:row>
      <xdr:rowOff>28812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2302988</xdr:colOff>
      <xdr:row>21</xdr:row>
      <xdr:rowOff>170361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8</xdr:col>
      <xdr:colOff>145676</xdr:colOff>
      <xdr:row>0</xdr:row>
      <xdr:rowOff>134471</xdr:rowOff>
    </xdr:from>
    <xdr:to>
      <xdr:col>8</xdr:col>
      <xdr:colOff>1425186</xdr:colOff>
      <xdr:row>2</xdr:row>
      <xdr:rowOff>272964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8E0CE2-99DE-4945-86D1-7C99C6D94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46441" y="134471"/>
          <a:ext cx="1283320" cy="54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1568702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735106</xdr:colOff>
      <xdr:row>11</xdr:row>
      <xdr:rowOff>8966</xdr:rowOff>
    </xdr:from>
    <xdr:to>
      <xdr:col>7</xdr:col>
      <xdr:colOff>314641</xdr:colOff>
      <xdr:row>20</xdr:row>
      <xdr:rowOff>104146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493624" y="2259107"/>
          <a:ext cx="1587629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3</xdr:col>
      <xdr:colOff>160547</xdr:colOff>
      <xdr:row>23</xdr:row>
      <xdr:rowOff>71717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127748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0</xdr:row>
      <xdr:rowOff>78441</xdr:rowOff>
    </xdr:from>
    <xdr:to>
      <xdr:col>8</xdr:col>
      <xdr:colOff>1473820</xdr:colOff>
      <xdr:row>2</xdr:row>
      <xdr:rowOff>215029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6396A4D-5434-4ED9-8E31-B1E180F0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92971" y="78441"/>
          <a:ext cx="1283320" cy="54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197224</xdr:colOff>
      <xdr:row>17</xdr:row>
      <xdr:rowOff>52018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1569154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753036</xdr:colOff>
      <xdr:row>11</xdr:row>
      <xdr:rowOff>3</xdr:rowOff>
    </xdr:from>
    <xdr:to>
      <xdr:col>8</xdr:col>
      <xdr:colOff>877</xdr:colOff>
      <xdr:row>20</xdr:row>
      <xdr:rowOff>95183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484660" y="2250144"/>
          <a:ext cx="1578664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3</xdr:col>
      <xdr:colOff>106758</xdr:colOff>
      <xdr:row>22</xdr:row>
      <xdr:rowOff>62753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0</xdr:row>
      <xdr:rowOff>123264</xdr:rowOff>
    </xdr:from>
    <xdr:to>
      <xdr:col>8</xdr:col>
      <xdr:colOff>1473820</xdr:colOff>
      <xdr:row>2</xdr:row>
      <xdr:rowOff>259852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0DAFF84-7DDA-441A-AA67-A1C45ECA9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9353" y="123264"/>
          <a:ext cx="1283320" cy="54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89535</xdr:colOff>
      <xdr:row>5</xdr:row>
      <xdr:rowOff>53340</xdr:rowOff>
    </xdr:from>
    <xdr:to>
      <xdr:col>5</xdr:col>
      <xdr:colOff>362397</xdr:colOff>
      <xdr:row>17</xdr:row>
      <xdr:rowOff>1062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92994" y="1362187"/>
          <a:ext cx="1273100" cy="2135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1571058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735106</xdr:colOff>
      <xdr:row>10</xdr:row>
      <xdr:rowOff>53790</xdr:rowOff>
    </xdr:from>
    <xdr:to>
      <xdr:col>8</xdr:col>
      <xdr:colOff>876</xdr:colOff>
      <xdr:row>20</xdr:row>
      <xdr:rowOff>380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65341" y="2250143"/>
          <a:ext cx="1596594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1506071</xdr:colOff>
      <xdr:row>14</xdr:row>
      <xdr:rowOff>26894</xdr:rowOff>
    </xdr:from>
    <xdr:to>
      <xdr:col>3</xdr:col>
      <xdr:colOff>159114</xdr:colOff>
      <xdr:row>21</xdr:row>
      <xdr:rowOff>35860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27812" y="2868706"/>
          <a:ext cx="1833609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45046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212912</xdr:colOff>
      <xdr:row>0</xdr:row>
      <xdr:rowOff>100853</xdr:rowOff>
    </xdr:from>
    <xdr:to>
      <xdr:col>8</xdr:col>
      <xdr:colOff>1498137</xdr:colOff>
      <xdr:row>2</xdr:row>
      <xdr:rowOff>239346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92C12B6-FF85-4DA3-AA2D-2A4F07DAD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71412" y="100853"/>
          <a:ext cx="1283320" cy="540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1569152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735106</xdr:colOff>
      <xdr:row>11</xdr:row>
      <xdr:rowOff>8967</xdr:rowOff>
    </xdr:from>
    <xdr:to>
      <xdr:col>7</xdr:col>
      <xdr:colOff>305676</xdr:colOff>
      <xdr:row>21</xdr:row>
      <xdr:rowOff>113112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466730" y="2429438"/>
          <a:ext cx="1578664" cy="1798474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439270</xdr:colOff>
      <xdr:row>19</xdr:row>
      <xdr:rowOff>71717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1070022</xdr:colOff>
      <xdr:row>11</xdr:row>
      <xdr:rowOff>17929</xdr:rowOff>
    </xdr:from>
    <xdr:to>
      <xdr:col>2</xdr:col>
      <xdr:colOff>2241409</xdr:colOff>
      <xdr:row>20</xdr:row>
      <xdr:rowOff>35857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69034" y="2429435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1048870</xdr:colOff>
      <xdr:row>11</xdr:row>
      <xdr:rowOff>134472</xdr:rowOff>
    </xdr:from>
    <xdr:to>
      <xdr:col>1</xdr:col>
      <xdr:colOff>345141</xdr:colOff>
      <xdr:row>20</xdr:row>
      <xdr:rowOff>406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48870" y="2554943"/>
          <a:ext cx="1761565" cy="1354075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201706</xdr:colOff>
      <xdr:row>0</xdr:row>
      <xdr:rowOff>100853</xdr:rowOff>
    </xdr:from>
    <xdr:to>
      <xdr:col>8</xdr:col>
      <xdr:colOff>1485026</xdr:colOff>
      <xdr:row>2</xdr:row>
      <xdr:rowOff>237441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7297D85-AC46-49BD-BB65-118945D2D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9353" y="100853"/>
          <a:ext cx="1283320" cy="54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242048</xdr:colOff>
      <xdr:row>19</xdr:row>
      <xdr:rowOff>13501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1569151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193797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2534019</xdr:colOff>
      <xdr:row>21</xdr:row>
      <xdr:rowOff>8963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1066800</xdr:colOff>
      <xdr:row>11</xdr:row>
      <xdr:rowOff>62752</xdr:rowOff>
    </xdr:from>
    <xdr:to>
      <xdr:col>1</xdr:col>
      <xdr:colOff>71718</xdr:colOff>
      <xdr:row>19</xdr:row>
      <xdr:rowOff>68940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66800" y="2483223"/>
          <a:ext cx="1532965" cy="1341929"/>
        </a:xfrm>
        <a:prstGeom prst="rect">
          <a:avLst/>
        </a:prstGeom>
      </xdr:spPr>
    </xdr:pic>
    <xdr:clientData/>
  </xdr:twoCellAnchor>
  <xdr:twoCellAnchor editAs="oneCell">
    <xdr:from>
      <xdr:col>8</xdr:col>
      <xdr:colOff>179294</xdr:colOff>
      <xdr:row>0</xdr:row>
      <xdr:rowOff>78442</xdr:rowOff>
    </xdr:from>
    <xdr:to>
      <xdr:col>8</xdr:col>
      <xdr:colOff>1462614</xdr:colOff>
      <xdr:row>2</xdr:row>
      <xdr:rowOff>215030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BBA275D-6BC0-42A6-9900-F8EC765B0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92970" y="78442"/>
          <a:ext cx="1283320" cy="54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17</xdr:row>
      <xdr:rowOff>27535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261257</xdr:colOff>
      <xdr:row>20</xdr:row>
      <xdr:rowOff>153134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1432560</xdr:colOff>
      <xdr:row>12</xdr:row>
      <xdr:rowOff>0</xdr:rowOff>
    </xdr:from>
    <xdr:to>
      <xdr:col>2</xdr:col>
      <xdr:colOff>2603947</xdr:colOff>
      <xdr:row>20</xdr:row>
      <xdr:rowOff>181534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2040" y="2354580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1277760</xdr:colOff>
      <xdr:row>12</xdr:row>
      <xdr:rowOff>145103</xdr:rowOff>
    </xdr:from>
    <xdr:to>
      <xdr:col>1</xdr:col>
      <xdr:colOff>357035</xdr:colOff>
      <xdr:row>19</xdr:row>
      <xdr:rowOff>147536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7760" y="2906232"/>
          <a:ext cx="1580428" cy="1167845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212911</xdr:colOff>
      <xdr:row>0</xdr:row>
      <xdr:rowOff>89647</xdr:rowOff>
    </xdr:from>
    <xdr:to>
      <xdr:col>8</xdr:col>
      <xdr:colOff>1496231</xdr:colOff>
      <xdr:row>2</xdr:row>
      <xdr:rowOff>226235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CD38741-DC2D-4729-88FA-76C1A7108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14529" y="89647"/>
          <a:ext cx="1283320" cy="540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944880</xdr:colOff>
      <xdr:row>4</xdr:row>
      <xdr:rowOff>60960</xdr:rowOff>
    </xdr:from>
    <xdr:to>
      <xdr:col>4</xdr:col>
      <xdr:colOff>747656</xdr:colOff>
      <xdr:row>12</xdr:row>
      <xdr:rowOff>135816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04660" y="853440"/>
          <a:ext cx="815340" cy="1661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730624</xdr:colOff>
      <xdr:row>10</xdr:row>
      <xdr:rowOff>4483</xdr:rowOff>
    </xdr:from>
    <xdr:to>
      <xdr:col>7</xdr:col>
      <xdr:colOff>292229</xdr:colOff>
      <xdr:row>19</xdr:row>
      <xdr:rowOff>128798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60859" y="2093259"/>
          <a:ext cx="1569699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1775012</xdr:colOff>
      <xdr:row>11</xdr:row>
      <xdr:rowOff>152401</xdr:rowOff>
    </xdr:from>
    <xdr:to>
      <xdr:col>2</xdr:col>
      <xdr:colOff>2946399</xdr:colOff>
      <xdr:row>20</xdr:row>
      <xdr:rowOff>107576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74024" y="2393577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1344707</xdr:colOff>
      <xdr:row>11</xdr:row>
      <xdr:rowOff>143435</xdr:rowOff>
    </xdr:from>
    <xdr:to>
      <xdr:col>1</xdr:col>
      <xdr:colOff>123266</xdr:colOff>
      <xdr:row>18</xdr:row>
      <xdr:rowOff>132876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44707" y="2563906"/>
          <a:ext cx="1324535" cy="1154852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201706</xdr:colOff>
      <xdr:row>0</xdr:row>
      <xdr:rowOff>123264</xdr:rowOff>
    </xdr:from>
    <xdr:to>
      <xdr:col>8</xdr:col>
      <xdr:colOff>1485026</xdr:colOff>
      <xdr:row>2</xdr:row>
      <xdr:rowOff>259852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ADE28CF-4CB4-4661-864E-81EEC51B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82618" y="123264"/>
          <a:ext cx="1283320" cy="54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16</xdr:row>
      <xdr:rowOff>6820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717177</xdr:colOff>
      <xdr:row>8</xdr:row>
      <xdr:rowOff>143441</xdr:rowOff>
    </xdr:from>
    <xdr:to>
      <xdr:col>7</xdr:col>
      <xdr:colOff>278782</xdr:colOff>
      <xdr:row>18</xdr:row>
      <xdr:rowOff>133286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170895" y="1900523"/>
          <a:ext cx="1569699" cy="18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1981200</xdr:colOff>
      <xdr:row>11</xdr:row>
      <xdr:rowOff>71716</xdr:rowOff>
    </xdr:from>
    <xdr:to>
      <xdr:col>3</xdr:col>
      <xdr:colOff>2613</xdr:colOff>
      <xdr:row>20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80212" y="2483222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1317814</xdr:colOff>
      <xdr:row>11</xdr:row>
      <xdr:rowOff>161363</xdr:rowOff>
    </xdr:from>
    <xdr:to>
      <xdr:col>0</xdr:col>
      <xdr:colOff>2445126</xdr:colOff>
      <xdr:row>18</xdr:row>
      <xdr:rowOff>35399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17814" y="2581834"/>
          <a:ext cx="1127312" cy="1039447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212911</xdr:colOff>
      <xdr:row>0</xdr:row>
      <xdr:rowOff>78441</xdr:rowOff>
    </xdr:from>
    <xdr:to>
      <xdr:col>8</xdr:col>
      <xdr:colOff>1496231</xdr:colOff>
      <xdr:row>2</xdr:row>
      <xdr:rowOff>215029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27B887-335B-4025-A81E-9B42C78D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15382" y="78441"/>
          <a:ext cx="1283320" cy="540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313765</xdr:colOff>
      <xdr:row>14</xdr:row>
      <xdr:rowOff>79067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739588</xdr:colOff>
      <xdr:row>11</xdr:row>
      <xdr:rowOff>5</xdr:rowOff>
    </xdr:from>
    <xdr:to>
      <xdr:col>7</xdr:col>
      <xdr:colOff>301193</xdr:colOff>
      <xdr:row>20</xdr:row>
      <xdr:rowOff>50361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489141" y="2250146"/>
          <a:ext cx="1569699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1488141</xdr:colOff>
      <xdr:row>15</xdr:row>
      <xdr:rowOff>89647</xdr:rowOff>
    </xdr:from>
    <xdr:to>
      <xdr:col>3</xdr:col>
      <xdr:colOff>139279</xdr:colOff>
      <xdr:row>22</xdr:row>
      <xdr:rowOff>98612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87153" y="2823882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47064</xdr:colOff>
      <xdr:row>20</xdr:row>
      <xdr:rowOff>14255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8</xdr:col>
      <xdr:colOff>168088</xdr:colOff>
      <xdr:row>0</xdr:row>
      <xdr:rowOff>145676</xdr:rowOff>
    </xdr:from>
    <xdr:to>
      <xdr:col>8</xdr:col>
      <xdr:colOff>1451408</xdr:colOff>
      <xdr:row>2</xdr:row>
      <xdr:rowOff>282264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F2AA06B-90A2-4FAB-8D37-08F18955B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9353" y="145676"/>
          <a:ext cx="1283320" cy="540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206188</xdr:colOff>
      <xdr:row>6</xdr:row>
      <xdr:rowOff>35858</xdr:rowOff>
    </xdr:from>
    <xdr:to>
      <xdr:col>5</xdr:col>
      <xdr:colOff>448236</xdr:colOff>
      <xdr:row>18</xdr:row>
      <xdr:rowOff>129400</xdr:rowOff>
    </xdr:to>
    <xdr:pic>
      <xdr:nvPicPr>
        <xdr:cNvPr id="286938" name="Obrázek 4">
          <a:extLst>
            <a:ext uri="{FF2B5EF4-FFF2-40B4-BE49-F238E27FC236}">
              <a16:creationId xmlns:a16="http://schemas.microsoft.com/office/drawing/2014/main" id="{00000000-0008-0000-2400-0000DA6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5859" y="1470211"/>
          <a:ext cx="1246094" cy="2218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166999</xdr:rowOff>
    </xdr:from>
    <xdr:to>
      <xdr:col>8</xdr:col>
      <xdr:colOff>1531052</xdr:colOff>
      <xdr:row>6</xdr:row>
      <xdr:rowOff>22414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6380" y="727293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1515035</xdr:colOff>
      <xdr:row>15</xdr:row>
      <xdr:rowOff>35859</xdr:rowOff>
    </xdr:from>
    <xdr:to>
      <xdr:col>3</xdr:col>
      <xdr:colOff>166173</xdr:colOff>
      <xdr:row>22</xdr:row>
      <xdr:rowOff>44825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B2A6871-69CB-4FE4-A247-5A211172C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4047" y="2770094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313767</xdr:colOff>
      <xdr:row>14</xdr:row>
      <xdr:rowOff>119301</xdr:rowOff>
    </xdr:from>
    <xdr:to>
      <xdr:col>1</xdr:col>
      <xdr:colOff>791135</xdr:colOff>
      <xdr:row>19</xdr:row>
      <xdr:rowOff>174471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83F06C-86FA-4FFD-9234-D16255FB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767" y="3032830"/>
          <a:ext cx="3014380" cy="888888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313764</xdr:colOff>
      <xdr:row>13</xdr:row>
      <xdr:rowOff>164124</xdr:rowOff>
    </xdr:from>
    <xdr:to>
      <xdr:col>2</xdr:col>
      <xdr:colOff>1057837</xdr:colOff>
      <xdr:row>20</xdr:row>
      <xdr:rowOff>98871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5FFD245-4A22-448D-9639-9811C4C28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9805"/>
        <a:stretch/>
      </xdr:blipFill>
      <xdr:spPr>
        <a:xfrm>
          <a:off x="3944470" y="2907324"/>
          <a:ext cx="744073" cy="1144982"/>
        </a:xfrm>
        <a:prstGeom prst="rect">
          <a:avLst/>
        </a:prstGeom>
      </xdr:spPr>
    </xdr:pic>
    <xdr:clientData/>
  </xdr:twoCellAnchor>
  <xdr:twoCellAnchor editAs="oneCell">
    <xdr:from>
      <xdr:col>5</xdr:col>
      <xdr:colOff>886894</xdr:colOff>
      <xdr:row>8</xdr:row>
      <xdr:rowOff>152400</xdr:rowOff>
    </xdr:from>
    <xdr:to>
      <xdr:col>8</xdr:col>
      <xdr:colOff>412376</xdr:colOff>
      <xdr:row>19</xdr:row>
      <xdr:rowOff>6647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128A305-847D-4E06-9BBA-272953CFD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40612" y="1909482"/>
          <a:ext cx="1856305" cy="1835447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156884</xdr:colOff>
      <xdr:row>0</xdr:row>
      <xdr:rowOff>123264</xdr:rowOff>
    </xdr:from>
    <xdr:to>
      <xdr:col>8</xdr:col>
      <xdr:colOff>1440204</xdr:colOff>
      <xdr:row>2</xdr:row>
      <xdr:rowOff>259852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159C7F6-516F-487B-9995-7CB86CF71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81766" y="123264"/>
          <a:ext cx="128332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143998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13</xdr:row>
      <xdr:rowOff>175940</xdr:rowOff>
    </xdr:from>
    <xdr:to>
      <xdr:col>7</xdr:col>
      <xdr:colOff>323351</xdr:colOff>
      <xdr:row>23</xdr:row>
      <xdr:rowOff>120130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39975" y="2686058"/>
          <a:ext cx="1635052" cy="1826778"/>
        </a:xfrm>
        <a:prstGeom prst="rect">
          <a:avLst/>
        </a:prstGeom>
      </xdr:spPr>
    </xdr:pic>
    <xdr:clientData/>
  </xdr:twoCellAnchor>
  <xdr:twoCellAnchor editAs="oneCell">
    <xdr:from>
      <xdr:col>4</xdr:col>
      <xdr:colOff>439479</xdr:colOff>
      <xdr:row>5</xdr:row>
      <xdr:rowOff>83820</xdr:rowOff>
    </xdr:from>
    <xdr:to>
      <xdr:col>5</xdr:col>
      <xdr:colOff>548221</xdr:colOff>
      <xdr:row>17</xdr:row>
      <xdr:rowOff>117514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05099" y="1280160"/>
          <a:ext cx="1114582" cy="2178501"/>
        </a:xfrm>
        <a:prstGeom prst="rect">
          <a:avLst/>
        </a:prstGeom>
      </xdr:spPr>
    </xdr:pic>
    <xdr:clientData/>
  </xdr:twoCellAnchor>
  <xdr:twoCellAnchor editAs="oneCell">
    <xdr:from>
      <xdr:col>2</xdr:col>
      <xdr:colOff>85212</xdr:colOff>
      <xdr:row>16</xdr:row>
      <xdr:rowOff>14884</xdr:rowOff>
    </xdr:from>
    <xdr:to>
      <xdr:col>3</xdr:col>
      <xdr:colOff>888852</xdr:colOff>
      <xdr:row>24</xdr:row>
      <xdr:rowOff>145677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8492" y="2849524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0</xdr:col>
      <xdr:colOff>682666</xdr:colOff>
      <xdr:row>15</xdr:row>
      <xdr:rowOff>18830</xdr:rowOff>
    </xdr:from>
    <xdr:to>
      <xdr:col>0</xdr:col>
      <xdr:colOff>2484571</xdr:colOff>
      <xdr:row>24</xdr:row>
      <xdr:rowOff>136071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682666" y="3022006"/>
          <a:ext cx="1801905" cy="1663653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212911</xdr:colOff>
      <xdr:row>0</xdr:row>
      <xdr:rowOff>100852</xdr:rowOff>
    </xdr:from>
    <xdr:to>
      <xdr:col>8</xdr:col>
      <xdr:colOff>1496231</xdr:colOff>
      <xdr:row>2</xdr:row>
      <xdr:rowOff>237440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C95FE8A-CDAA-45B1-96DA-842B379F5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9558" y="100852"/>
          <a:ext cx="1283320" cy="540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5</xdr:row>
      <xdr:rowOff>29585</xdr:rowOff>
    </xdr:from>
    <xdr:to>
      <xdr:col>5</xdr:col>
      <xdr:colOff>295836</xdr:colOff>
      <xdr:row>18</xdr:row>
      <xdr:rowOff>19022</xdr:rowOff>
    </xdr:to>
    <xdr:pic>
      <xdr:nvPicPr>
        <xdr:cNvPr id="285914" name="Obrázek 4">
          <a:extLst>
            <a:ext uri="{FF2B5EF4-FFF2-40B4-BE49-F238E27FC236}">
              <a16:creationId xmlns:a16="http://schemas.microsoft.com/office/drawing/2014/main" id="{00000000-0008-0000-2300-0000DA5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0151" y="1230856"/>
          <a:ext cx="1269402" cy="2409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1553464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2187388</xdr:colOff>
      <xdr:row>13</xdr:row>
      <xdr:rowOff>8966</xdr:rowOff>
    </xdr:from>
    <xdr:to>
      <xdr:col>3</xdr:col>
      <xdr:colOff>23905</xdr:colOff>
      <xdr:row>20</xdr:row>
      <xdr:rowOff>81962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F86EFC5-57A2-4BF0-9252-DE95FFA47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2420472"/>
          <a:ext cx="1018987" cy="1310126"/>
        </a:xfrm>
        <a:prstGeom prst="rect">
          <a:avLst/>
        </a:prstGeom>
      </xdr:spPr>
    </xdr:pic>
    <xdr:clientData/>
  </xdr:twoCellAnchor>
  <xdr:twoCellAnchor editAs="oneCell">
    <xdr:from>
      <xdr:col>0</xdr:col>
      <xdr:colOff>1093692</xdr:colOff>
      <xdr:row>12</xdr:row>
      <xdr:rowOff>119571</xdr:rowOff>
    </xdr:from>
    <xdr:to>
      <xdr:col>0</xdr:col>
      <xdr:colOff>2414316</xdr:colOff>
      <xdr:row>18</xdr:row>
      <xdr:rowOff>53786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2D3178E-41E7-4BE1-8BE3-9F906AC4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3692" y="2710371"/>
          <a:ext cx="1320624" cy="974121"/>
        </a:xfrm>
        <a:prstGeom prst="rect">
          <a:avLst/>
        </a:prstGeom>
      </xdr:spPr>
    </xdr:pic>
    <xdr:clientData/>
  </xdr:twoCellAnchor>
  <xdr:twoCellAnchor editAs="oneCell">
    <xdr:from>
      <xdr:col>6</xdr:col>
      <xdr:colOff>73234</xdr:colOff>
      <xdr:row>8</xdr:row>
      <xdr:rowOff>26895</xdr:rowOff>
    </xdr:from>
    <xdr:to>
      <xdr:col>8</xdr:col>
      <xdr:colOff>358590</xdr:colOff>
      <xdr:row>16</xdr:row>
      <xdr:rowOff>141735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81341C-715A-456F-B357-900DF949E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30999" y="1783977"/>
          <a:ext cx="1612131" cy="1594017"/>
        </a:xfrm>
        <a:prstGeom prst="rect">
          <a:avLst/>
        </a:prstGeom>
      </xdr:spPr>
    </xdr:pic>
    <xdr:clientData/>
  </xdr:twoCellAnchor>
  <xdr:twoCellAnchor editAs="oneCell">
    <xdr:from>
      <xdr:col>8</xdr:col>
      <xdr:colOff>179295</xdr:colOff>
      <xdr:row>0</xdr:row>
      <xdr:rowOff>112059</xdr:rowOff>
    </xdr:from>
    <xdr:to>
      <xdr:col>8</xdr:col>
      <xdr:colOff>1462615</xdr:colOff>
      <xdr:row>2</xdr:row>
      <xdr:rowOff>248647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E66EFD-A4E3-400F-8AAC-238DF553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92971" y="112059"/>
          <a:ext cx="1283320" cy="540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304799</xdr:colOff>
      <xdr:row>18</xdr:row>
      <xdr:rowOff>4089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1519847</xdr:colOff>
      <xdr:row>5</xdr:row>
      <xdr:rowOff>67237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2052918</xdr:colOff>
      <xdr:row>14</xdr:row>
      <xdr:rowOff>98612</xdr:rowOff>
    </xdr:from>
    <xdr:to>
      <xdr:col>2</xdr:col>
      <xdr:colOff>3071905</xdr:colOff>
      <xdr:row>22</xdr:row>
      <xdr:rowOff>55067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8824" y="2590800"/>
          <a:ext cx="1018987" cy="1310126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215400</xdr:colOff>
      <xdr:row>20</xdr:row>
      <xdr:rowOff>62948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730525</xdr:colOff>
      <xdr:row>18</xdr:row>
      <xdr:rowOff>105290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212911</xdr:colOff>
      <xdr:row>0</xdr:row>
      <xdr:rowOff>100852</xdr:rowOff>
    </xdr:from>
    <xdr:to>
      <xdr:col>8</xdr:col>
      <xdr:colOff>1496231</xdr:colOff>
      <xdr:row>2</xdr:row>
      <xdr:rowOff>237440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B487A42-9A99-406C-854A-32E852258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82617" y="100852"/>
          <a:ext cx="1283320" cy="54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179293</xdr:colOff>
      <xdr:row>16</xdr:row>
      <xdr:rowOff>153782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67237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1425389</xdr:colOff>
      <xdr:row>13</xdr:row>
      <xdr:rowOff>152400</xdr:rowOff>
    </xdr:from>
    <xdr:to>
      <xdr:col>3</xdr:col>
      <xdr:colOff>76527</xdr:colOff>
      <xdr:row>20</xdr:row>
      <xdr:rowOff>116542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9201" y="3074894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376519</xdr:colOff>
      <xdr:row>14</xdr:row>
      <xdr:rowOff>53790</xdr:rowOff>
    </xdr:from>
    <xdr:to>
      <xdr:col>2</xdr:col>
      <xdr:colOff>378759</xdr:colOff>
      <xdr:row>20</xdr:row>
      <xdr:rowOff>39815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519" y="3048002"/>
          <a:ext cx="3606052" cy="1016966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567540</xdr:colOff>
      <xdr:row>17</xdr:row>
      <xdr:rowOff>123219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8</xdr:col>
      <xdr:colOff>179294</xdr:colOff>
      <xdr:row>0</xdr:row>
      <xdr:rowOff>123265</xdr:rowOff>
    </xdr:from>
    <xdr:to>
      <xdr:col>8</xdr:col>
      <xdr:colOff>1462614</xdr:colOff>
      <xdr:row>2</xdr:row>
      <xdr:rowOff>259853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3F8E9FD-7B51-442C-AB2B-07D1E5F3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9353" y="123265"/>
          <a:ext cx="1283320" cy="540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394447</xdr:colOff>
      <xdr:row>17</xdr:row>
      <xdr:rowOff>141811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1531051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1398495</xdr:colOff>
      <xdr:row>14</xdr:row>
      <xdr:rowOff>53789</xdr:rowOff>
    </xdr:from>
    <xdr:to>
      <xdr:col>3</xdr:col>
      <xdr:colOff>49633</xdr:colOff>
      <xdr:row>21</xdr:row>
      <xdr:rowOff>107578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7507" y="2716307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206189</xdr:colOff>
      <xdr:row>13</xdr:row>
      <xdr:rowOff>215157</xdr:rowOff>
    </xdr:from>
    <xdr:to>
      <xdr:col>2</xdr:col>
      <xdr:colOff>403412</xdr:colOff>
      <xdr:row>20</xdr:row>
      <xdr:rowOff>20425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6189" y="3137651"/>
          <a:ext cx="3818964" cy="1087221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17</xdr:row>
      <xdr:rowOff>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224117</xdr:colOff>
      <xdr:row>0</xdr:row>
      <xdr:rowOff>134470</xdr:rowOff>
    </xdr:from>
    <xdr:to>
      <xdr:col>8</xdr:col>
      <xdr:colOff>1507437</xdr:colOff>
      <xdr:row>2</xdr:row>
      <xdr:rowOff>271058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798C743-5E89-4B1C-99B2-2B505D2BA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15382" y="134470"/>
          <a:ext cx="1283320" cy="540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67237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3396316</xdr:colOff>
      <xdr:row>22</xdr:row>
      <xdr:rowOff>123649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71717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26895</xdr:colOff>
      <xdr:row>19</xdr:row>
      <xdr:rowOff>103506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638735</xdr:colOff>
      <xdr:row>0</xdr:row>
      <xdr:rowOff>145677</xdr:rowOff>
    </xdr:from>
    <xdr:to>
      <xdr:col>8</xdr:col>
      <xdr:colOff>588555</xdr:colOff>
      <xdr:row>2</xdr:row>
      <xdr:rowOff>282265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5359C30-6768-4CF8-B40A-C43E2C4A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26706" y="145677"/>
          <a:ext cx="1283320" cy="540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197222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3396316</xdr:colOff>
      <xdr:row>22</xdr:row>
      <xdr:rowOff>123648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87139</xdr:colOff>
      <xdr:row>19</xdr:row>
      <xdr:rowOff>64995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1411285</xdr:colOff>
      <xdr:row>19</xdr:row>
      <xdr:rowOff>98616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6</xdr:col>
      <xdr:colOff>582706</xdr:colOff>
      <xdr:row>0</xdr:row>
      <xdr:rowOff>134471</xdr:rowOff>
    </xdr:from>
    <xdr:to>
      <xdr:col>8</xdr:col>
      <xdr:colOff>532526</xdr:colOff>
      <xdr:row>2</xdr:row>
      <xdr:rowOff>271059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7516DF2-B715-4749-BB3D-E279FA740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5500" y="134471"/>
          <a:ext cx="128332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67237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67237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1039905</xdr:colOff>
      <xdr:row>17</xdr:row>
      <xdr:rowOff>53789</xdr:rowOff>
    </xdr:from>
    <xdr:to>
      <xdr:col>2</xdr:col>
      <xdr:colOff>3396316</xdr:colOff>
      <xdr:row>26</xdr:row>
      <xdr:rowOff>123646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233581" y="2799230"/>
          <a:ext cx="2356411" cy="1616270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896470</xdr:colOff>
      <xdr:row>18</xdr:row>
      <xdr:rowOff>142282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2490611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17930</xdr:colOff>
      <xdr:row>19</xdr:row>
      <xdr:rowOff>2328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649941</xdr:colOff>
      <xdr:row>0</xdr:row>
      <xdr:rowOff>145676</xdr:rowOff>
    </xdr:from>
    <xdr:to>
      <xdr:col>8</xdr:col>
      <xdr:colOff>599761</xdr:colOff>
      <xdr:row>2</xdr:row>
      <xdr:rowOff>282264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D8AF59B-443E-46FB-A659-D564A53C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15500" y="145676"/>
          <a:ext cx="1283320" cy="540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1</xdr:col>
      <xdr:colOff>1114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21</xdr:row>
      <xdr:rowOff>11206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62753</xdr:colOff>
      <xdr:row>17</xdr:row>
      <xdr:rowOff>138126</xdr:rowOff>
    </xdr:from>
    <xdr:to>
      <xdr:col>2</xdr:col>
      <xdr:colOff>2484158</xdr:colOff>
      <xdr:row>27</xdr:row>
      <xdr:rowOff>46620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1765" y="2657208"/>
          <a:ext cx="2421405" cy="1629718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826998</xdr:colOff>
      <xdr:row>23</xdr:row>
      <xdr:rowOff>80384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638735</xdr:colOff>
      <xdr:row>0</xdr:row>
      <xdr:rowOff>145676</xdr:rowOff>
    </xdr:from>
    <xdr:to>
      <xdr:col>8</xdr:col>
      <xdr:colOff>588555</xdr:colOff>
      <xdr:row>2</xdr:row>
      <xdr:rowOff>282264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9037BE0-CC8A-4747-82BF-DF78E6A90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16353" y="145676"/>
          <a:ext cx="128332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67237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2895943" cy="14447552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3890368" cy="11561277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672353</xdr:colOff>
      <xdr:row>13</xdr:row>
      <xdr:rowOff>228598</xdr:rowOff>
    </xdr:from>
    <xdr:to>
      <xdr:col>7</xdr:col>
      <xdr:colOff>320827</xdr:colOff>
      <xdr:row>23</xdr:row>
      <xdr:rowOff>130206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4373" y="2857498"/>
          <a:ext cx="1660154" cy="179898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4</xdr:col>
      <xdr:colOff>93124</xdr:colOff>
      <xdr:row>24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773207</xdr:colOff>
      <xdr:row>15</xdr:row>
      <xdr:rowOff>20172</xdr:rowOff>
    </xdr:from>
    <xdr:to>
      <xdr:col>0</xdr:col>
      <xdr:colOff>2575112</xdr:colOff>
      <xdr:row>25</xdr:row>
      <xdr:rowOff>21144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3207" y="3151992"/>
          <a:ext cx="1801905" cy="1715472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0</xdr:row>
      <xdr:rowOff>112058</xdr:rowOff>
    </xdr:from>
    <xdr:to>
      <xdr:col>8</xdr:col>
      <xdr:colOff>1507438</xdr:colOff>
      <xdr:row>2</xdr:row>
      <xdr:rowOff>248646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FD340D3-7782-46CE-917A-828CCDC2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13098" y="112058"/>
          <a:ext cx="1283320" cy="540448"/>
        </a:xfrm>
        <a:prstGeom prst="rect">
          <a:avLst/>
        </a:prstGeom>
      </xdr:spPr>
    </xdr:pic>
    <xdr:clientData/>
  </xdr:twoCellAnchor>
  <xdr:twoCellAnchor>
    <xdr:from>
      <xdr:col>4</xdr:col>
      <xdr:colOff>63202</xdr:colOff>
      <xdr:row>4</xdr:row>
      <xdr:rowOff>98612</xdr:rowOff>
    </xdr:from>
    <xdr:to>
      <xdr:col>5</xdr:col>
      <xdr:colOff>627082</xdr:colOff>
      <xdr:row>19</xdr:row>
      <xdr:rowOff>152400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7611484" y="1147483"/>
          <a:ext cx="1567927" cy="2823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3711881" cy="10004610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28995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4870545" cy="16117609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632461</xdr:colOff>
      <xdr:row>4</xdr:row>
      <xdr:rowOff>103094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441961</xdr:colOff>
      <xdr:row>5</xdr:row>
      <xdr:rowOff>129540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400272</xdr:colOff>
      <xdr:row>15</xdr:row>
      <xdr:rowOff>26895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584497</xdr:colOff>
      <xdr:row>29</xdr:row>
      <xdr:rowOff>22861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236220</xdr:colOff>
      <xdr:row>48</xdr:row>
      <xdr:rowOff>22860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335280</xdr:colOff>
      <xdr:row>9</xdr:row>
      <xdr:rowOff>68580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6</xdr:col>
      <xdr:colOff>225910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94518</xdr:colOff>
      <xdr:row>35</xdr:row>
      <xdr:rowOff>132521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504652</xdr:colOff>
      <xdr:row>38</xdr:row>
      <xdr:rowOff>57687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564776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466163</xdr:colOff>
      <xdr:row>20</xdr:row>
      <xdr:rowOff>71718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519953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986118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560294</xdr:colOff>
      <xdr:row>85</xdr:row>
      <xdr:rowOff>144916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2891119</xdr:colOff>
      <xdr:row>86</xdr:row>
      <xdr:rowOff>20941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4</xdr:col>
      <xdr:colOff>403413</xdr:colOff>
      <xdr:row>85</xdr:row>
      <xdr:rowOff>99008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1323183</xdr:colOff>
      <xdr:row>5</xdr:row>
      <xdr:rowOff>168090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800100</xdr:colOff>
      <xdr:row>13</xdr:row>
      <xdr:rowOff>235888</xdr:rowOff>
    </xdr:from>
    <xdr:to>
      <xdr:col>7</xdr:col>
      <xdr:colOff>525475</xdr:colOff>
      <xdr:row>23</xdr:row>
      <xdr:rowOff>130172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2600" y="2803828"/>
          <a:ext cx="1737055" cy="1944064"/>
        </a:xfrm>
        <a:prstGeom prst="rect">
          <a:avLst/>
        </a:prstGeom>
      </xdr:spPr>
    </xdr:pic>
    <xdr:clientData/>
  </xdr:twoCellAnchor>
  <xdr:twoCellAnchor editAs="oneCell">
    <xdr:from>
      <xdr:col>2</xdr:col>
      <xdr:colOff>147741</xdr:colOff>
      <xdr:row>16</xdr:row>
      <xdr:rowOff>65534</xdr:rowOff>
    </xdr:from>
    <xdr:to>
      <xdr:col>3</xdr:col>
      <xdr:colOff>753036</xdr:colOff>
      <xdr:row>24</xdr:row>
      <xdr:rowOff>61295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42501" y="3326894"/>
          <a:ext cx="3371355" cy="1512141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1</xdr:col>
      <xdr:colOff>35277</xdr:colOff>
      <xdr:row>24</xdr:row>
      <xdr:rowOff>25039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 editAs="oneCell">
    <xdr:from>
      <xdr:col>8</xdr:col>
      <xdr:colOff>235323</xdr:colOff>
      <xdr:row>0</xdr:row>
      <xdr:rowOff>100853</xdr:rowOff>
    </xdr:from>
    <xdr:to>
      <xdr:col>8</xdr:col>
      <xdr:colOff>1518643</xdr:colOff>
      <xdr:row>2</xdr:row>
      <xdr:rowOff>237441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C8E0A2-0A9B-44C5-957F-89D60C85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75763" y="100853"/>
          <a:ext cx="1283320" cy="540448"/>
        </a:xfrm>
        <a:prstGeom prst="rect">
          <a:avLst/>
        </a:prstGeom>
      </xdr:spPr>
    </xdr:pic>
    <xdr:clientData/>
  </xdr:twoCellAnchor>
  <xdr:twoCellAnchor>
    <xdr:from>
      <xdr:col>3</xdr:col>
      <xdr:colOff>959223</xdr:colOff>
      <xdr:row>9</xdr:row>
      <xdr:rowOff>152401</xdr:rowOff>
    </xdr:from>
    <xdr:to>
      <xdr:col>5</xdr:col>
      <xdr:colOff>549536</xdr:colOff>
      <xdr:row>20</xdr:row>
      <xdr:rowOff>51100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352" y="2097742"/>
          <a:ext cx="1598408" cy="2059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1323183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800100</xdr:colOff>
      <xdr:row>13</xdr:row>
      <xdr:rowOff>235888</xdr:rowOff>
    </xdr:from>
    <xdr:to>
      <xdr:col>7</xdr:col>
      <xdr:colOff>525475</xdr:colOff>
      <xdr:row>23</xdr:row>
      <xdr:rowOff>130172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482" y="2768417"/>
          <a:ext cx="1697611" cy="1956167"/>
        </a:xfrm>
        <a:prstGeom prst="rect">
          <a:avLst/>
        </a:prstGeom>
      </xdr:spPr>
    </xdr:pic>
    <xdr:clientData/>
  </xdr:twoCellAnchor>
  <xdr:twoCellAnchor editAs="oneCell">
    <xdr:from>
      <xdr:col>2</xdr:col>
      <xdr:colOff>147741</xdr:colOff>
      <xdr:row>16</xdr:row>
      <xdr:rowOff>65534</xdr:rowOff>
    </xdr:from>
    <xdr:to>
      <xdr:col>3</xdr:col>
      <xdr:colOff>753036</xdr:colOff>
      <xdr:row>24</xdr:row>
      <xdr:rowOff>61295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3866" y="2942084"/>
          <a:ext cx="3367546" cy="1529286"/>
        </a:xfrm>
        <a:prstGeom prst="rect">
          <a:avLst/>
        </a:prstGeom>
      </xdr:spPr>
    </xdr:pic>
    <xdr:clientData/>
  </xdr:twoCellAnchor>
  <xdr:twoCellAnchor editAs="oneCell">
    <xdr:from>
      <xdr:col>4</xdr:col>
      <xdr:colOff>283000</xdr:colOff>
      <xdr:row>7</xdr:row>
      <xdr:rowOff>38100</xdr:rowOff>
    </xdr:from>
    <xdr:to>
      <xdr:col>5</xdr:col>
      <xdr:colOff>675854</xdr:colOff>
      <xdr:row>19</xdr:row>
      <xdr:rowOff>62192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41025" y="1657350"/>
          <a:ext cx="1402503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1</xdr:col>
      <xdr:colOff>35277</xdr:colOff>
      <xdr:row>24</xdr:row>
      <xdr:rowOff>25039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1605" y="3209087"/>
          <a:ext cx="1707054" cy="1567246"/>
        </a:xfrm>
        <a:prstGeom prst="rect">
          <a:avLst/>
        </a:prstGeom>
      </xdr:spPr>
    </xdr:pic>
    <xdr:clientData/>
  </xdr:twoCellAnchor>
  <xdr:twoCellAnchor editAs="oneCell">
    <xdr:from>
      <xdr:col>8</xdr:col>
      <xdr:colOff>235323</xdr:colOff>
      <xdr:row>0</xdr:row>
      <xdr:rowOff>100853</xdr:rowOff>
    </xdr:from>
    <xdr:to>
      <xdr:col>8</xdr:col>
      <xdr:colOff>1518643</xdr:colOff>
      <xdr:row>2</xdr:row>
      <xdr:rowOff>237441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FF4B337-2A6D-400E-9138-B2D8D4D70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093823" y="100853"/>
          <a:ext cx="1283320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649605</xdr:colOff>
      <xdr:row>13</xdr:row>
      <xdr:rowOff>232192</xdr:rowOff>
    </xdr:from>
    <xdr:to>
      <xdr:col>7</xdr:col>
      <xdr:colOff>312420</xdr:colOff>
      <xdr:row>23</xdr:row>
      <xdr:rowOff>143660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2311" y="2742310"/>
          <a:ext cx="1635050" cy="1827674"/>
        </a:xfrm>
        <a:prstGeom prst="rect">
          <a:avLst/>
        </a:prstGeom>
      </xdr:spPr>
    </xdr:pic>
    <xdr:clientData/>
  </xdr:twoCellAnchor>
  <xdr:twoCellAnchor editAs="oneCell">
    <xdr:from>
      <xdr:col>2</xdr:col>
      <xdr:colOff>162309</xdr:colOff>
      <xdr:row>16</xdr:row>
      <xdr:rowOff>52087</xdr:rowOff>
    </xdr:from>
    <xdr:to>
      <xdr:col>3</xdr:col>
      <xdr:colOff>965948</xdr:colOff>
      <xdr:row>25</xdr:row>
      <xdr:rowOff>21514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1321" y="2902863"/>
          <a:ext cx="3367546" cy="1529286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15</xdr:row>
      <xdr:rowOff>33619</xdr:rowOff>
    </xdr:from>
    <xdr:to>
      <xdr:col>1</xdr:col>
      <xdr:colOff>6722</xdr:colOff>
      <xdr:row>24</xdr:row>
      <xdr:rowOff>134471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003178"/>
          <a:ext cx="1801905" cy="1647264"/>
        </a:xfrm>
        <a:prstGeom prst="rect">
          <a:avLst/>
        </a:prstGeom>
      </xdr:spPr>
    </xdr:pic>
    <xdr:clientData/>
  </xdr:twoCellAnchor>
  <xdr:twoCellAnchor editAs="oneCell">
    <xdr:from>
      <xdr:col>4</xdr:col>
      <xdr:colOff>166785</xdr:colOff>
      <xdr:row>6</xdr:row>
      <xdr:rowOff>98613</xdr:rowOff>
    </xdr:from>
    <xdr:to>
      <xdr:col>5</xdr:col>
      <xdr:colOff>574440</xdr:colOff>
      <xdr:row>19</xdr:row>
      <xdr:rowOff>53791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3750" y="1532966"/>
          <a:ext cx="1411702" cy="2241177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224117</xdr:colOff>
      <xdr:row>0</xdr:row>
      <xdr:rowOff>103094</xdr:rowOff>
    </xdr:from>
    <xdr:to>
      <xdr:col>8</xdr:col>
      <xdr:colOff>1507437</xdr:colOff>
      <xdr:row>2</xdr:row>
      <xdr:rowOff>239682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C16E46E-6600-4660-BB2B-8430D7E74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24029" y="103094"/>
          <a:ext cx="1283320" cy="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672353</xdr:colOff>
      <xdr:row>13</xdr:row>
      <xdr:rowOff>228598</xdr:rowOff>
    </xdr:from>
    <xdr:to>
      <xdr:col>7</xdr:col>
      <xdr:colOff>320827</xdr:colOff>
      <xdr:row>23</xdr:row>
      <xdr:rowOff>130206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0588" y="2817157"/>
          <a:ext cx="1620709" cy="1817814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4</xdr:col>
      <xdr:colOff>93124</xdr:colOff>
      <xdr:row>24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58" y="2955757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0</xdr:col>
      <xdr:colOff>773207</xdr:colOff>
      <xdr:row>15</xdr:row>
      <xdr:rowOff>20172</xdr:rowOff>
    </xdr:from>
    <xdr:to>
      <xdr:col>0</xdr:col>
      <xdr:colOff>2575112</xdr:colOff>
      <xdr:row>25</xdr:row>
      <xdr:rowOff>21144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3207" y="3135407"/>
          <a:ext cx="1801905" cy="1713791"/>
        </a:xfrm>
        <a:prstGeom prst="rect">
          <a:avLst/>
        </a:prstGeom>
      </xdr:spPr>
    </xdr:pic>
    <xdr:clientData/>
  </xdr:twoCellAnchor>
  <xdr:twoCellAnchor editAs="oneCell">
    <xdr:from>
      <xdr:col>4</xdr:col>
      <xdr:colOff>546684</xdr:colOff>
      <xdr:row>5</xdr:row>
      <xdr:rowOff>17929</xdr:rowOff>
    </xdr:from>
    <xdr:to>
      <xdr:col>5</xdr:col>
      <xdr:colOff>533720</xdr:colOff>
      <xdr:row>19</xdr:row>
      <xdr:rowOff>15269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7377790" y="1290917"/>
          <a:ext cx="991084" cy="2517431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0</xdr:row>
      <xdr:rowOff>112058</xdr:rowOff>
    </xdr:from>
    <xdr:to>
      <xdr:col>8</xdr:col>
      <xdr:colOff>1507438</xdr:colOff>
      <xdr:row>2</xdr:row>
      <xdr:rowOff>248646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96BB342-445C-4009-9C0E-2B83CFFED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24883" y="112058"/>
          <a:ext cx="1283320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744069</xdr:colOff>
      <xdr:row>13</xdr:row>
      <xdr:rowOff>253875</xdr:rowOff>
    </xdr:from>
    <xdr:to>
      <xdr:col>7</xdr:col>
      <xdr:colOff>310321</xdr:colOff>
      <xdr:row>24</xdr:row>
      <xdr:rowOff>26516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5716" y="2763993"/>
          <a:ext cx="1605723" cy="1845729"/>
        </a:xfrm>
        <a:prstGeom prst="rect">
          <a:avLst/>
        </a:prstGeom>
      </xdr:spPr>
    </xdr:pic>
    <xdr:clientData/>
  </xdr:twoCellAnchor>
  <xdr:twoCellAnchor editAs="oneCell">
    <xdr:from>
      <xdr:col>2</xdr:col>
      <xdr:colOff>456353</xdr:colOff>
      <xdr:row>16</xdr:row>
      <xdr:rowOff>33264</xdr:rowOff>
    </xdr:from>
    <xdr:to>
      <xdr:col>3</xdr:col>
      <xdr:colOff>647702</xdr:colOff>
      <xdr:row>24</xdr:row>
      <xdr:rowOff>152401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5365" y="288404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4</xdr:col>
      <xdr:colOff>133476</xdr:colOff>
      <xdr:row>6</xdr:row>
      <xdr:rowOff>0</xdr:rowOff>
    </xdr:from>
    <xdr:to>
      <xdr:col>5</xdr:col>
      <xdr:colOff>658593</xdr:colOff>
      <xdr:row>19</xdr:row>
      <xdr:rowOff>188259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6276" y="1434353"/>
          <a:ext cx="1573986" cy="2474258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1008530</xdr:colOff>
      <xdr:row>15</xdr:row>
      <xdr:rowOff>22413</xdr:rowOff>
    </xdr:from>
    <xdr:to>
      <xdr:col>1</xdr:col>
      <xdr:colOff>8803</xdr:colOff>
      <xdr:row>24</xdr:row>
      <xdr:rowOff>76165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8530" y="3059207"/>
          <a:ext cx="1644861" cy="1600164"/>
        </a:xfrm>
        <a:prstGeom prst="rect">
          <a:avLst/>
        </a:prstGeom>
      </xdr:spPr>
    </xdr:pic>
    <xdr:clientData/>
  </xdr:twoCellAnchor>
  <xdr:twoCellAnchor editAs="oneCell">
    <xdr:from>
      <xdr:col>8</xdr:col>
      <xdr:colOff>179293</xdr:colOff>
      <xdr:row>0</xdr:row>
      <xdr:rowOff>112059</xdr:rowOff>
    </xdr:from>
    <xdr:to>
      <xdr:col>8</xdr:col>
      <xdr:colOff>1462613</xdr:colOff>
      <xdr:row>2</xdr:row>
      <xdr:rowOff>248647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0CC49F4-D6E1-47DD-9570-FB6FB894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73117" y="112059"/>
          <a:ext cx="128332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ikola.janikova@demos-trade.com;%20david.kakes@demos-trade.com" TargetMode="External"/><Relationship Id="rId2" Type="http://schemas.openxmlformats.org/officeDocument/2006/relationships/hyperlink" Target="mailto:nikola.janikova@demos-trade.com" TargetMode="External"/><Relationship Id="rId1" Type="http://schemas.openxmlformats.org/officeDocument/2006/relationships/hyperlink" Target="mailto:nikola.janikova@demos-trade.com;%20david.kakes@demos-trade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demos24plus.com/DirectMail/default.aspx?code=180245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B2436"/>
  <sheetViews>
    <sheetView workbookViewId="0">
      <pane xSplit="2" ySplit="2" topLeftCell="G3" activePane="bottomRight" state="frozenSplit"/>
      <selection pane="topRight" activeCell="C1" sqref="C1"/>
      <selection pane="bottomLeft" activeCell="A3" sqref="A3"/>
      <selection pane="bottomRight" activeCell="I6" sqref="I6"/>
    </sheetView>
  </sheetViews>
  <sheetFormatPr baseColWidth="10" defaultColWidth="8.83203125" defaultRowHeight="13"/>
  <cols>
    <col min="1" max="1" width="12.6640625" customWidth="1"/>
    <col min="2" max="2" width="51" customWidth="1"/>
    <col min="3" max="3" width="9.1640625" style="91" bestFit="1" customWidth="1"/>
    <col min="4" max="4" width="42.1640625" customWidth="1"/>
    <col min="5" max="5" width="30" customWidth="1"/>
    <col min="6" max="6" width="48.33203125" bestFit="1" customWidth="1"/>
    <col min="7" max="7" width="34.5" customWidth="1"/>
    <col min="8" max="8" width="18.1640625" style="214" customWidth="1"/>
    <col min="9" max="9" width="17.5" style="210" bestFit="1" customWidth="1"/>
    <col min="10" max="10" width="17.5" style="91" bestFit="1" customWidth="1"/>
    <col min="11" max="11" width="18.83203125" style="91" bestFit="1" customWidth="1"/>
    <col min="12" max="12" width="18.6640625" bestFit="1" customWidth="1"/>
    <col min="13" max="13" width="9.1640625" customWidth="1"/>
    <col min="14" max="14" width="18.6640625" bestFit="1" customWidth="1"/>
    <col min="15" max="15" width="11.1640625" bestFit="1" customWidth="1"/>
    <col min="16" max="16" width="10.6640625" customWidth="1"/>
    <col min="17" max="17" width="10.5" customWidth="1"/>
    <col min="18" max="18" width="13.33203125" customWidth="1"/>
    <col min="19" max="19" width="11" customWidth="1"/>
    <col min="20" max="20" width="18.6640625" bestFit="1" customWidth="1"/>
  </cols>
  <sheetData>
    <row r="1" spans="1:19" s="88" customFormat="1" ht="41.25" customHeight="1">
      <c r="A1" s="88" t="s">
        <v>144</v>
      </c>
      <c r="B1" s="88" t="s">
        <v>17</v>
      </c>
      <c r="C1" s="90" t="s">
        <v>152</v>
      </c>
      <c r="D1" s="218" t="s">
        <v>154</v>
      </c>
      <c r="E1" s="204" t="s">
        <v>1004</v>
      </c>
      <c r="F1" s="204" t="s">
        <v>1005</v>
      </c>
      <c r="G1" s="204" t="s">
        <v>1006</v>
      </c>
      <c r="H1" s="212" t="s">
        <v>48</v>
      </c>
      <c r="I1" s="584" t="s">
        <v>1007</v>
      </c>
      <c r="J1" s="205" t="s">
        <v>1008</v>
      </c>
      <c r="K1" s="205" t="s">
        <v>1009</v>
      </c>
      <c r="L1" s="215" t="s">
        <v>1010</v>
      </c>
      <c r="M1" s="215" t="s">
        <v>832</v>
      </c>
      <c r="N1" s="205" t="s">
        <v>4717</v>
      </c>
      <c r="O1" s="205"/>
      <c r="P1" s="205"/>
      <c r="Q1" s="205"/>
      <c r="R1" s="205"/>
      <c r="S1" s="205"/>
    </row>
    <row r="2" spans="1:19">
      <c r="A2" s="206">
        <v>2</v>
      </c>
      <c r="B2" s="207" t="str">
        <f>IF(A2=1,"Kč",IF(A2=2,"EUR",IF(A2=3,"zł",IF(A2=4,"Ft","chyba"))))</f>
        <v>EUR</v>
      </c>
      <c r="D2" s="207"/>
      <c r="E2" s="208"/>
      <c r="F2" s="208"/>
      <c r="G2" s="208"/>
      <c r="H2" s="213"/>
      <c r="I2" s="209"/>
      <c r="J2" s="209"/>
      <c r="K2" s="209"/>
      <c r="L2" s="207"/>
      <c r="M2" s="207"/>
      <c r="N2" s="208"/>
      <c r="O2" s="208"/>
      <c r="P2" s="208"/>
      <c r="Q2" s="208"/>
      <c r="R2" s="208"/>
    </row>
    <row r="3" spans="1:19" ht="15">
      <c r="A3" s="424">
        <v>98019</v>
      </c>
      <c r="B3" t="str">
        <f t="shared" ref="B3:B34" si="0">IF($A$2=1,D3,IF($A$2=2,F3,IF($A$2=3,G3,IF($A$2=4,E3,"zadat jazyk"))))</f>
        <v>SEVROLL-skrutka 2,5*18MM</v>
      </c>
      <c r="C3" s="209">
        <f t="shared" ref="C3:C66" si="1">IF($A$2=1,H3,IF($A$2=2,I3,IF($A$2=3,J3,IF($A$2=4,K3,"zadat jazyk"))))</f>
        <v>2.8680000000000001E-2</v>
      </c>
      <c r="D3" s="542" t="s">
        <v>4087</v>
      </c>
      <c r="E3" s="542" t="s">
        <v>876</v>
      </c>
      <c r="F3" s="542" t="s">
        <v>701</v>
      </c>
      <c r="G3" s="542" t="s">
        <v>2666</v>
      </c>
      <c r="H3" s="426">
        <v>0.76861000000000002</v>
      </c>
      <c r="I3" s="425">
        <v>2.8680000000000001E-2</v>
      </c>
      <c r="J3" s="425">
        <v>0.11</v>
      </c>
      <c r="K3" s="425">
        <v>8.7086199999999998</v>
      </c>
      <c r="L3" s="542" t="s">
        <v>621</v>
      </c>
      <c r="M3" s="423" t="s">
        <v>699</v>
      </c>
      <c r="N3" s="206">
        <v>0.60757000000000005</v>
      </c>
      <c r="O3" s="546"/>
      <c r="R3" s="206"/>
    </row>
    <row r="4" spans="1:19" ht="15">
      <c r="A4" s="424">
        <v>223569</v>
      </c>
      <c r="B4" t="str">
        <f t="shared" si="0"/>
        <v>SEVROLL spona dorazového kartáča</v>
      </c>
      <c r="C4" s="209">
        <f t="shared" si="1"/>
        <v>7.399E-2</v>
      </c>
      <c r="D4" s="542" t="s">
        <v>3999</v>
      </c>
      <c r="E4" s="542" t="s">
        <v>1154</v>
      </c>
      <c r="F4" s="542" t="s">
        <v>4000</v>
      </c>
      <c r="G4" s="542" t="s">
        <v>2542</v>
      </c>
      <c r="H4" s="426">
        <v>2.12792</v>
      </c>
      <c r="I4" s="425">
        <v>7.399E-2</v>
      </c>
      <c r="J4" s="425">
        <v>0.26</v>
      </c>
      <c r="K4" s="425">
        <v>24.109970000000001</v>
      </c>
      <c r="L4" s="542" t="s">
        <v>1025</v>
      </c>
      <c r="M4" s="423" t="s">
        <v>699</v>
      </c>
      <c r="N4" s="206">
        <v>1.6920500000000001</v>
      </c>
      <c r="O4" s="546"/>
      <c r="R4" s="206"/>
    </row>
    <row r="5" spans="1:19" ht="15">
      <c r="A5" s="424">
        <v>346726</v>
      </c>
      <c r="B5" t="str">
        <f t="shared" si="0"/>
        <v>SEVROLL šroubovrut Blue 6,3*45</v>
      </c>
      <c r="C5" s="209">
        <f t="shared" si="1"/>
        <v>0.16349</v>
      </c>
      <c r="D5" s="542" t="s">
        <v>3995</v>
      </c>
      <c r="E5" s="542" t="s">
        <v>3996</v>
      </c>
      <c r="F5" s="542" t="s">
        <v>3998</v>
      </c>
      <c r="G5" s="542" t="s">
        <v>3997</v>
      </c>
      <c r="H5" s="426">
        <v>3.7530000000000001</v>
      </c>
      <c r="I5" s="425">
        <v>0.16349</v>
      </c>
      <c r="J5" s="425">
        <v>0.43</v>
      </c>
      <c r="K5" s="425">
        <v>40.317689999999999</v>
      </c>
      <c r="L5" s="542" t="s">
        <v>1025</v>
      </c>
      <c r="M5" s="423" t="s">
        <v>699</v>
      </c>
      <c r="N5" s="206">
        <v>3.0024000000000002</v>
      </c>
      <c r="O5" s="546"/>
      <c r="R5" s="206"/>
    </row>
    <row r="6" spans="1:19" ht="15">
      <c r="A6" s="424">
        <v>89244</v>
      </c>
      <c r="B6" t="str">
        <f t="shared" si="0"/>
        <v>SEVROLL šroubovrut 6,3*32 -Sevroll a Simple</v>
      </c>
      <c r="C6" s="209">
        <f t="shared" si="1"/>
        <v>0.14462</v>
      </c>
      <c r="D6" s="542" t="s">
        <v>4179</v>
      </c>
      <c r="E6" s="542" t="s">
        <v>2549</v>
      </c>
      <c r="F6" s="542" t="s">
        <v>4180</v>
      </c>
      <c r="G6" s="542" t="s">
        <v>2550</v>
      </c>
      <c r="H6" s="426">
        <v>4.2700800000000001</v>
      </c>
      <c r="I6" s="425">
        <v>0.14462</v>
      </c>
      <c r="J6" s="425">
        <v>0.51</v>
      </c>
      <c r="K6" s="425">
        <v>48.381210000000003</v>
      </c>
      <c r="L6" s="542" t="s">
        <v>621</v>
      </c>
      <c r="M6" s="423" t="s">
        <v>699</v>
      </c>
      <c r="N6" s="206">
        <v>3.2665000000000002</v>
      </c>
      <c r="O6" s="546"/>
      <c r="R6" s="206"/>
    </row>
    <row r="7" spans="1:19" ht="15">
      <c r="A7" s="424">
        <v>89063</v>
      </c>
      <c r="B7" t="str">
        <f t="shared" si="0"/>
        <v>SEV - pozicionér HI-TEC</v>
      </c>
      <c r="C7" s="209">
        <f t="shared" si="1"/>
        <v>0.31335000000000002</v>
      </c>
      <c r="D7" s="542" t="s">
        <v>4020</v>
      </c>
      <c r="E7" s="542" t="s">
        <v>4021</v>
      </c>
      <c r="F7" s="542" t="s">
        <v>2317</v>
      </c>
      <c r="G7" s="542" t="s">
        <v>4022</v>
      </c>
      <c r="H7" s="426">
        <v>8.5401600000000002</v>
      </c>
      <c r="I7" s="425">
        <v>0.31335000000000002</v>
      </c>
      <c r="J7" s="425">
        <v>1.1000000000000001</v>
      </c>
      <c r="K7" s="425">
        <v>96.762439999999998</v>
      </c>
      <c r="L7" s="542" t="s">
        <v>1025</v>
      </c>
      <c r="M7" s="423" t="s">
        <v>699</v>
      </c>
      <c r="N7" s="206">
        <v>6.5330000000000004</v>
      </c>
      <c r="O7" s="546"/>
      <c r="R7" s="206"/>
    </row>
    <row r="8" spans="1:19" ht="15">
      <c r="A8" s="424">
        <v>252641</v>
      </c>
      <c r="B8" t="str">
        <f t="shared" si="0"/>
        <v>SEVROLL unášač k tlmiču 11027</v>
      </c>
      <c r="C8" s="209">
        <f t="shared" si="1"/>
        <v>0.25253999999999999</v>
      </c>
      <c r="D8" s="542" t="s">
        <v>3137</v>
      </c>
      <c r="E8" s="542" t="s">
        <v>1426</v>
      </c>
      <c r="F8" s="542" t="s">
        <v>3138</v>
      </c>
      <c r="G8" s="542" t="s">
        <v>1427</v>
      </c>
      <c r="H8" s="426">
        <v>7.2279999999999998</v>
      </c>
      <c r="I8" s="425">
        <v>0.25253999999999999</v>
      </c>
      <c r="J8" s="425">
        <v>0.99158000000000002</v>
      </c>
      <c r="K8" s="425">
        <v>80.635360000000006</v>
      </c>
      <c r="L8" s="542" t="s">
        <v>623</v>
      </c>
      <c r="M8" s="423" t="s">
        <v>699</v>
      </c>
      <c r="N8" s="206">
        <v>6.5330000000000004</v>
      </c>
      <c r="O8" s="546"/>
      <c r="R8" s="206"/>
    </row>
    <row r="9" spans="1:19" ht="15">
      <c r="A9" s="424">
        <v>213767</v>
      </c>
      <c r="B9" t="str">
        <f t="shared" si="0"/>
        <v>SEVROLL dorazový kartáč samolep. 6,7x4mm</v>
      </c>
      <c r="C9" s="209">
        <f t="shared" si="1"/>
        <v>0.29165999999999997</v>
      </c>
      <c r="D9" s="542" t="s">
        <v>3864</v>
      </c>
      <c r="E9" s="542" t="s">
        <v>3865</v>
      </c>
      <c r="F9" s="542" t="s">
        <v>3866</v>
      </c>
      <c r="G9" s="542" t="s">
        <v>1668</v>
      </c>
      <c r="H9" s="426">
        <v>7.8284799999999999</v>
      </c>
      <c r="I9" s="425">
        <v>0.29165999999999997</v>
      </c>
      <c r="J9" s="425">
        <v>1.18</v>
      </c>
      <c r="K9" s="425">
        <v>88.698899999999995</v>
      </c>
      <c r="L9" s="542" t="s">
        <v>622</v>
      </c>
      <c r="M9" s="423" t="s">
        <v>698</v>
      </c>
      <c r="N9" s="206">
        <v>7.5456200000000004</v>
      </c>
      <c r="O9" s="546"/>
      <c r="R9" s="206"/>
    </row>
    <row r="10" spans="1:19" ht="15">
      <c r="A10" s="424">
        <v>229681</v>
      </c>
      <c r="B10" t="str">
        <f t="shared" si="0"/>
        <v>SEVROLL Simple pozicionér pre spodný vozík</v>
      </c>
      <c r="C10" s="209">
        <f t="shared" si="1"/>
        <v>0.40872000000000003</v>
      </c>
      <c r="D10" s="542" t="s">
        <v>4288</v>
      </c>
      <c r="E10" s="542" t="s">
        <v>2415</v>
      </c>
      <c r="F10" s="542" t="s">
        <v>4289</v>
      </c>
      <c r="G10" s="542" t="s">
        <v>1162</v>
      </c>
      <c r="H10" s="426">
        <v>9.7577999999999996</v>
      </c>
      <c r="I10" s="425">
        <v>0.40872000000000003</v>
      </c>
      <c r="J10" s="425">
        <v>1.1499999999999999</v>
      </c>
      <c r="K10" s="425">
        <v>104.82597</v>
      </c>
      <c r="L10" s="542" t="s">
        <v>621</v>
      </c>
      <c r="M10" s="423" t="s">
        <v>699</v>
      </c>
      <c r="N10" s="206">
        <v>8.2566000000000006</v>
      </c>
      <c r="O10" s="546"/>
      <c r="R10" s="206"/>
    </row>
    <row r="11" spans="1:19" ht="15">
      <c r="A11" s="424">
        <v>224214</v>
      </c>
      <c r="B11" t="str">
        <f t="shared" si="0"/>
        <v>SEVROLL Simple/Blue pozicionér pre horný voz</v>
      </c>
      <c r="C11" s="209">
        <f t="shared" si="1"/>
        <v>0.53161999999999998</v>
      </c>
      <c r="D11" s="542" t="s">
        <v>3041</v>
      </c>
      <c r="E11" s="542" t="s">
        <v>2413</v>
      </c>
      <c r="F11" s="542" t="s">
        <v>3042</v>
      </c>
      <c r="G11" s="542" t="s">
        <v>2414</v>
      </c>
      <c r="H11" s="426">
        <v>13.233079999999999</v>
      </c>
      <c r="I11" s="425">
        <v>0.53161999999999998</v>
      </c>
      <c r="J11" s="425">
        <v>1.49</v>
      </c>
      <c r="K11" s="425">
        <v>142.16013000000001</v>
      </c>
      <c r="L11" s="542" t="s">
        <v>622</v>
      </c>
      <c r="M11" s="423" t="s">
        <v>699</v>
      </c>
      <c r="N11" s="206">
        <v>10.71857</v>
      </c>
      <c r="O11" s="546"/>
      <c r="R11" s="206"/>
    </row>
    <row r="12" spans="1:19" ht="15">
      <c r="A12" s="424">
        <v>341987</v>
      </c>
      <c r="B12" t="str">
        <f t="shared" si="0"/>
        <v>SEVROLL Micra brzda (2ks v balení)</v>
      </c>
      <c r="C12" s="209">
        <f t="shared" si="1"/>
        <v>0.57850000000000001</v>
      </c>
      <c r="D12" s="542" t="s">
        <v>4357</v>
      </c>
      <c r="E12" s="542" t="s">
        <v>2240</v>
      </c>
      <c r="F12" s="542" t="s">
        <v>4357</v>
      </c>
      <c r="G12" s="542" t="s">
        <v>84</v>
      </c>
      <c r="H12" s="426">
        <v>15.65696</v>
      </c>
      <c r="I12" s="425">
        <v>0.57850000000000001</v>
      </c>
      <c r="J12" s="425">
        <v>2.1800000000000002</v>
      </c>
      <c r="K12" s="425">
        <v>177.39778999999999</v>
      </c>
      <c r="L12" s="542" t="s">
        <v>621</v>
      </c>
      <c r="M12" s="423" t="s">
        <v>700</v>
      </c>
      <c r="N12" s="206">
        <v>12.412699999999999</v>
      </c>
      <c r="O12" s="546"/>
      <c r="R12" s="206"/>
    </row>
    <row r="13" spans="1:19" ht="15">
      <c r="A13" s="424">
        <v>204142</v>
      </c>
      <c r="B13" t="str">
        <f t="shared" si="0"/>
        <v>OKE-kefkadoraz.samolep.6,7*4mm biely</v>
      </c>
      <c r="C13" s="209" t="e">
        <f t="shared" si="1"/>
        <v>#N/A</v>
      </c>
      <c r="D13" s="542" t="s">
        <v>3933</v>
      </c>
      <c r="E13" s="542" t="s">
        <v>1392</v>
      </c>
      <c r="F13" s="542" t="s">
        <v>1391</v>
      </c>
      <c r="G13" s="542" t="s">
        <v>1393</v>
      </c>
      <c r="H13" s="426">
        <v>19.584</v>
      </c>
      <c r="I13" s="425" t="e">
        <v>#N/A</v>
      </c>
      <c r="J13" s="425">
        <v>2.4853700000000001</v>
      </c>
      <c r="K13" s="425">
        <v>221.89225999999999</v>
      </c>
      <c r="L13" s="542" t="s">
        <v>622</v>
      </c>
      <c r="M13" s="423" t="s">
        <v>698</v>
      </c>
      <c r="N13" s="206">
        <v>14.382</v>
      </c>
      <c r="O13" s="546"/>
      <c r="R13" s="206"/>
    </row>
    <row r="14" spans="1:19" ht="15">
      <c r="A14" s="424">
        <v>212616</v>
      </c>
      <c r="B14" t="str">
        <f t="shared" si="0"/>
        <v>SEVROLL brzda k lište Hide N a M</v>
      </c>
      <c r="C14" s="209">
        <f t="shared" si="1"/>
        <v>2.6273399999999998</v>
      </c>
      <c r="D14" s="542" t="s">
        <v>4665</v>
      </c>
      <c r="E14" s="542" t="s">
        <v>1156</v>
      </c>
      <c r="F14" s="542" t="s">
        <v>4666</v>
      </c>
      <c r="G14" s="542" t="s">
        <v>1620</v>
      </c>
      <c r="H14" s="426">
        <v>70.456320000000005</v>
      </c>
      <c r="I14" s="425">
        <v>2.6273399999999998</v>
      </c>
      <c r="J14" s="425">
        <v>12.47</v>
      </c>
      <c r="K14" s="425">
        <v>798.29004999999995</v>
      </c>
      <c r="L14" s="542" t="s">
        <v>621</v>
      </c>
      <c r="M14" s="423" t="s">
        <v>703</v>
      </c>
      <c r="N14" s="206">
        <v>15.0259</v>
      </c>
      <c r="O14" s="546"/>
      <c r="R14" s="206"/>
    </row>
    <row r="15" spans="1:19" ht="15">
      <c r="A15" s="429">
        <v>221063</v>
      </c>
      <c r="B15" t="str">
        <f t="shared" si="0"/>
        <v>SEVROLL vodiaci tŕň</v>
      </c>
      <c r="C15" s="209">
        <f t="shared" si="1"/>
        <v>0.72311999999999999</v>
      </c>
      <c r="D15" s="542" t="s">
        <v>3153</v>
      </c>
      <c r="E15" s="542" t="s">
        <v>1060</v>
      </c>
      <c r="F15" s="542" t="s">
        <v>3154</v>
      </c>
      <c r="G15" s="542" t="s">
        <v>2786</v>
      </c>
      <c r="H15" s="426">
        <v>21.517199999999999</v>
      </c>
      <c r="I15" s="425">
        <v>0.72311999999999999</v>
      </c>
      <c r="J15" s="425">
        <v>2.5499999999999998</v>
      </c>
      <c r="K15" s="425">
        <v>241.90608</v>
      </c>
      <c r="L15" s="542" t="s">
        <v>622</v>
      </c>
      <c r="M15" s="430" t="s">
        <v>699</v>
      </c>
      <c r="N15" s="206">
        <v>15.7765</v>
      </c>
      <c r="O15" s="546"/>
      <c r="R15" s="206"/>
    </row>
    <row r="16" spans="1:19" ht="15">
      <c r="A16" s="424">
        <v>276941</v>
      </c>
      <c r="B16" t="str">
        <f t="shared" si="0"/>
        <v/>
      </c>
      <c r="C16" s="209" t="e">
        <f t="shared" si="1"/>
        <v>#N/A</v>
      </c>
      <c r="D16" s="542" t="s">
        <v>3936</v>
      </c>
      <c r="E16" s="542" t="s">
        <v>1571</v>
      </c>
      <c r="F16" s="542" t="s">
        <v>84</v>
      </c>
      <c r="G16" s="542" t="s">
        <v>84</v>
      </c>
      <c r="H16" s="426">
        <v>21.657599999999999</v>
      </c>
      <c r="I16" s="425" t="e">
        <v>#N/A</v>
      </c>
      <c r="J16" s="425">
        <v>2.5315500000000002</v>
      </c>
      <c r="K16" s="425">
        <v>245.38674</v>
      </c>
      <c r="L16" s="542" t="s">
        <v>622</v>
      </c>
      <c r="M16" s="423" t="s">
        <v>698</v>
      </c>
      <c r="N16" s="206">
        <v>16.708500000000001</v>
      </c>
      <c r="O16" s="546"/>
      <c r="R16" s="206"/>
    </row>
    <row r="17" spans="1:18" ht="15">
      <c r="A17" s="424">
        <v>212607</v>
      </c>
      <c r="B17" t="str">
        <f t="shared" si="0"/>
        <v>SEVROLL tesnenie na sklo 10/6,4mm</v>
      </c>
      <c r="C17" s="209">
        <f t="shared" si="1"/>
        <v>0.79542999999999997</v>
      </c>
      <c r="D17" s="542" t="s">
        <v>3239</v>
      </c>
      <c r="E17" s="542" t="s">
        <v>925</v>
      </c>
      <c r="F17" s="542" t="s">
        <v>3240</v>
      </c>
      <c r="G17" s="542" t="s">
        <v>2555</v>
      </c>
      <c r="H17" s="426">
        <v>22.773759999999999</v>
      </c>
      <c r="I17" s="425">
        <v>0.79542999999999997</v>
      </c>
      <c r="J17" s="425">
        <v>2.89019</v>
      </c>
      <c r="K17" s="425">
        <v>258.03314999999998</v>
      </c>
      <c r="L17" s="542" t="s">
        <v>622</v>
      </c>
      <c r="M17" s="423" t="s">
        <v>698</v>
      </c>
      <c r="N17" s="206">
        <v>17.639099999999999</v>
      </c>
      <c r="O17" s="546"/>
      <c r="R17" s="206"/>
    </row>
    <row r="18" spans="1:18" ht="15">
      <c r="A18" s="424">
        <v>132953</v>
      </c>
      <c r="B18" t="str">
        <f t="shared" si="0"/>
        <v>SEVROLL tesnenie na sklo 10,1/8mm</v>
      </c>
      <c r="C18" s="209">
        <f t="shared" si="1"/>
        <v>0.79542999999999997</v>
      </c>
      <c r="D18" s="542" t="s">
        <v>4177</v>
      </c>
      <c r="E18" s="542" t="s">
        <v>901</v>
      </c>
      <c r="F18" s="542" t="s">
        <v>4178</v>
      </c>
      <c r="G18" s="542" t="s">
        <v>2551</v>
      </c>
      <c r="H18" s="426">
        <v>22.773759999999999</v>
      </c>
      <c r="I18" s="425">
        <v>0.79542999999999997</v>
      </c>
      <c r="J18" s="425">
        <v>2.8</v>
      </c>
      <c r="K18" s="425">
        <v>258.03314999999998</v>
      </c>
      <c r="L18" s="542" t="s">
        <v>621</v>
      </c>
      <c r="M18" s="423" t="s">
        <v>698</v>
      </c>
      <c r="N18" s="206">
        <v>18.292400000000001</v>
      </c>
      <c r="O18" s="546"/>
      <c r="R18" s="206"/>
    </row>
    <row r="19" spans="1:18" ht="15">
      <c r="A19" s="429">
        <v>98036</v>
      </c>
      <c r="B19" t="str">
        <f t="shared" si="0"/>
        <v>SEVROLL Exclusive guľatý pozicionér</v>
      </c>
      <c r="C19" s="209">
        <f t="shared" si="1"/>
        <v>0.94006000000000001</v>
      </c>
      <c r="D19" s="542" t="s">
        <v>3799</v>
      </c>
      <c r="E19" s="542" t="s">
        <v>2768</v>
      </c>
      <c r="F19" s="542" t="s">
        <v>3800</v>
      </c>
      <c r="G19" s="542" t="s">
        <v>2849</v>
      </c>
      <c r="H19" s="426">
        <v>25.103400000000001</v>
      </c>
      <c r="I19" s="425">
        <v>0.94006000000000001</v>
      </c>
      <c r="J19" s="425">
        <v>3.7</v>
      </c>
      <c r="K19" s="425">
        <v>282.22377</v>
      </c>
      <c r="L19" s="542" t="s">
        <v>622</v>
      </c>
      <c r="M19" s="430" t="s">
        <v>699</v>
      </c>
      <c r="N19" s="206">
        <v>18.300740000000001</v>
      </c>
      <c r="O19" s="546"/>
      <c r="R19" s="206"/>
    </row>
    <row r="20" spans="1:18" ht="15">
      <c r="A20" s="424">
        <v>216362</v>
      </c>
      <c r="B20" t="str">
        <f t="shared" si="0"/>
        <v>SEVROLL záslepka spodného vedenia Simple</v>
      </c>
      <c r="C20" s="209">
        <f t="shared" si="1"/>
        <v>1.1716599999999999</v>
      </c>
      <c r="D20" s="542" t="s">
        <v>3984</v>
      </c>
      <c r="E20" s="542" t="s">
        <v>2673</v>
      </c>
      <c r="F20" s="542" t="s">
        <v>3985</v>
      </c>
      <c r="G20" s="542" t="s">
        <v>2674</v>
      </c>
      <c r="H20" s="426">
        <v>30.962250000000001</v>
      </c>
      <c r="I20" s="425">
        <v>1.1716599999999999</v>
      </c>
      <c r="J20" s="425">
        <v>3.49</v>
      </c>
      <c r="K20" s="425">
        <v>314.47789999999998</v>
      </c>
      <c r="L20" s="542" t="s">
        <v>1025</v>
      </c>
      <c r="M20" s="423" t="s">
        <v>940</v>
      </c>
      <c r="N20" s="206">
        <v>24.7698</v>
      </c>
      <c r="O20" s="546"/>
      <c r="R20" s="206"/>
    </row>
    <row r="21" spans="1:18" ht="15">
      <c r="A21" s="424">
        <v>298035</v>
      </c>
      <c r="B21" t="str">
        <f t="shared" si="0"/>
        <v>SEVROLL Fix pozicionér pre horný vozík tran.</v>
      </c>
      <c r="C21" s="209">
        <f t="shared" si="1"/>
        <v>1.0605800000000001</v>
      </c>
      <c r="D21" s="542" t="s">
        <v>4047</v>
      </c>
      <c r="E21" s="542" t="s">
        <v>1830</v>
      </c>
      <c r="F21" s="542" t="s">
        <v>4048</v>
      </c>
      <c r="G21" s="542" t="s">
        <v>1831</v>
      </c>
      <c r="H21" s="426">
        <v>31.31392</v>
      </c>
      <c r="I21" s="425">
        <v>1.0605800000000001</v>
      </c>
      <c r="J21" s="425">
        <v>3.7</v>
      </c>
      <c r="K21" s="425">
        <v>354.79559</v>
      </c>
      <c r="L21" s="542" t="s">
        <v>1025</v>
      </c>
      <c r="M21" s="423" t="s">
        <v>699</v>
      </c>
      <c r="N21" s="206">
        <v>24.825399999999998</v>
      </c>
      <c r="O21" s="546"/>
      <c r="R21" s="206"/>
    </row>
    <row r="22" spans="1:18" ht="15">
      <c r="A22" s="424">
        <v>213808</v>
      </c>
      <c r="B22" t="str">
        <f t="shared" si="0"/>
        <v>SEVROLL horný vozík WPFc Duo</v>
      </c>
      <c r="C22" s="209" t="e">
        <f t="shared" si="1"/>
        <v>#N/A</v>
      </c>
      <c r="D22" s="542" t="s">
        <v>3569</v>
      </c>
      <c r="E22" s="542" t="s">
        <v>933</v>
      </c>
      <c r="F22" s="542" t="s">
        <v>3570</v>
      </c>
      <c r="G22" s="542" t="s">
        <v>2045</v>
      </c>
      <c r="H22" s="426">
        <v>1E-3</v>
      </c>
      <c r="I22" s="425" t="e">
        <v>#N/A</v>
      </c>
      <c r="J22" s="425">
        <v>1E-3</v>
      </c>
      <c r="K22" s="425">
        <v>1E-3</v>
      </c>
      <c r="L22" s="542" t="s">
        <v>7984</v>
      </c>
      <c r="M22" s="423" t="s">
        <v>699</v>
      </c>
      <c r="N22" s="206">
        <v>42.464500000000001</v>
      </c>
      <c r="O22" s="546"/>
      <c r="R22" s="206"/>
    </row>
    <row r="23" spans="1:18" ht="15">
      <c r="A23" s="427">
        <v>98022</v>
      </c>
      <c r="B23" t="str">
        <f t="shared" si="0"/>
        <v>ASTIN Smart horný vozík</v>
      </c>
      <c r="C23" s="209">
        <f t="shared" si="1"/>
        <v>1.63907</v>
      </c>
      <c r="D23" s="542" t="s">
        <v>3980</v>
      </c>
      <c r="E23" s="542" t="s">
        <v>966</v>
      </c>
      <c r="F23" s="542" t="s">
        <v>3981</v>
      </c>
      <c r="G23" s="542" t="s">
        <v>967</v>
      </c>
      <c r="H23" s="426">
        <v>45.147199999999998</v>
      </c>
      <c r="I23" s="425">
        <v>1.63907</v>
      </c>
      <c r="J23" s="425">
        <v>6.7144500000000003</v>
      </c>
      <c r="K23" s="425">
        <v>499.93923000000001</v>
      </c>
      <c r="L23" s="542" t="s">
        <v>921</v>
      </c>
      <c r="M23" s="428" t="s">
        <v>699</v>
      </c>
      <c r="N23" s="206">
        <v>43.479199999999999</v>
      </c>
      <c r="O23" s="546"/>
      <c r="R23" s="206"/>
    </row>
    <row r="24" spans="1:18" ht="15">
      <c r="A24" s="427">
        <v>98023</v>
      </c>
      <c r="B24" t="str">
        <f t="shared" si="0"/>
        <v>ASTIN Smart spodný vozík</v>
      </c>
      <c r="C24" s="209">
        <f t="shared" si="1"/>
        <v>1.63907</v>
      </c>
      <c r="D24" s="542" t="s">
        <v>3982</v>
      </c>
      <c r="E24" s="542" t="s">
        <v>968</v>
      </c>
      <c r="F24" s="542" t="s">
        <v>3983</v>
      </c>
      <c r="G24" s="542" t="s">
        <v>969</v>
      </c>
      <c r="H24" s="426">
        <v>45.147199999999998</v>
      </c>
      <c r="I24" s="425">
        <v>1.63907</v>
      </c>
      <c r="J24" s="425">
        <v>6.7144500000000003</v>
      </c>
      <c r="K24" s="425">
        <v>499.93923000000001</v>
      </c>
      <c r="L24" s="542" t="s">
        <v>921</v>
      </c>
      <c r="M24" s="428" t="s">
        <v>699</v>
      </c>
      <c r="N24" s="206">
        <v>43.479199999999999</v>
      </c>
      <c r="O24" s="546"/>
      <c r="R24" s="206"/>
    </row>
    <row r="25" spans="1:18" ht="15">
      <c r="A25" s="424">
        <v>284601</v>
      </c>
      <c r="B25" t="str">
        <f t="shared" si="0"/>
        <v>SEVROLL horný vozík Simple(18mm)symetr.(L+P)</v>
      </c>
      <c r="C25" s="209">
        <f t="shared" si="1"/>
        <v>2.4836800000000001</v>
      </c>
      <c r="D25" s="542" t="s">
        <v>4452</v>
      </c>
      <c r="E25" s="542" t="s">
        <v>2043</v>
      </c>
      <c r="F25" s="542" t="s">
        <v>4453</v>
      </c>
      <c r="G25" s="542" t="s">
        <v>2044</v>
      </c>
      <c r="H25" s="426">
        <v>57.0456</v>
      </c>
      <c r="I25" s="425">
        <v>2.4836800000000001</v>
      </c>
      <c r="J25" s="425">
        <v>7.06</v>
      </c>
      <c r="K25" s="425">
        <v>612.82871999999998</v>
      </c>
      <c r="L25" s="542" t="s">
        <v>623</v>
      </c>
      <c r="M25" s="423" t="s">
        <v>703</v>
      </c>
      <c r="N25" s="206">
        <v>44.285400000000003</v>
      </c>
      <c r="O25" s="546"/>
      <c r="R25" s="206"/>
    </row>
    <row r="26" spans="1:18" ht="15">
      <c r="A26" s="424">
        <v>89156</v>
      </c>
      <c r="B26" t="str">
        <f t="shared" si="0"/>
        <v>SEVROLL Micra horné/spod.vedenie 1,7m surová</v>
      </c>
      <c r="C26" s="209">
        <f t="shared" si="1"/>
        <v>2.7237499999999999</v>
      </c>
      <c r="D26" s="542" t="s">
        <v>4353</v>
      </c>
      <c r="E26" s="542" t="s">
        <v>848</v>
      </c>
      <c r="F26" s="542" t="s">
        <v>4354</v>
      </c>
      <c r="G26" s="542" t="s">
        <v>2245</v>
      </c>
      <c r="H26" s="426">
        <v>64.762879999999996</v>
      </c>
      <c r="I26" s="425">
        <v>2.7237499999999999</v>
      </c>
      <c r="J26" s="425">
        <v>7.63</v>
      </c>
      <c r="K26" s="425">
        <v>733.78177000000005</v>
      </c>
      <c r="L26" s="542" t="s">
        <v>621</v>
      </c>
      <c r="M26" s="423" t="s">
        <v>699</v>
      </c>
      <c r="N26" s="206">
        <v>47.037599999999998</v>
      </c>
      <c r="O26" s="546"/>
      <c r="R26" s="206"/>
    </row>
    <row r="27" spans="1:18" ht="15">
      <c r="A27" s="424">
        <v>89134</v>
      </c>
      <c r="B27" t="str">
        <f t="shared" si="0"/>
        <v>SEVROLL-182 UHOLNÍK 17*11 STRIEBOR. 1,7M</v>
      </c>
      <c r="C27" s="209">
        <f t="shared" si="1"/>
        <v>2.5309200000000001</v>
      </c>
      <c r="D27" s="542" t="s">
        <v>4152</v>
      </c>
      <c r="E27" s="542" t="s">
        <v>842</v>
      </c>
      <c r="F27" s="542" t="s">
        <v>93</v>
      </c>
      <c r="G27" s="542" t="s">
        <v>2590</v>
      </c>
      <c r="H27" s="426">
        <v>66.897919999999999</v>
      </c>
      <c r="I27" s="425">
        <v>2.5309200000000001</v>
      </c>
      <c r="J27" s="425">
        <v>8.98</v>
      </c>
      <c r="K27" s="425">
        <v>757.97238000000004</v>
      </c>
      <c r="L27" s="542" t="s">
        <v>621</v>
      </c>
      <c r="M27" s="423" t="s">
        <v>699</v>
      </c>
      <c r="N27" s="206">
        <v>48.344200000000001</v>
      </c>
      <c r="O27" s="546"/>
      <c r="R27" s="206"/>
    </row>
    <row r="28" spans="1:18" ht="15">
      <c r="A28" s="424">
        <v>190764</v>
      </c>
      <c r="B28" t="str">
        <f t="shared" si="0"/>
        <v>SEVROLL tesnenie na sklo 18/4mm symetrické</v>
      </c>
      <c r="C28" s="209">
        <f t="shared" si="1"/>
        <v>2.37086</v>
      </c>
      <c r="D28" s="542" t="s">
        <v>3237</v>
      </c>
      <c r="E28" s="542" t="s">
        <v>914</v>
      </c>
      <c r="F28" s="542" t="s">
        <v>3238</v>
      </c>
      <c r="G28" s="542" t="s">
        <v>2558</v>
      </c>
      <c r="H28" s="426">
        <v>68.292810000000003</v>
      </c>
      <c r="I28" s="425">
        <v>2.37086</v>
      </c>
      <c r="J28" s="425">
        <v>8.15</v>
      </c>
      <c r="K28" s="425">
        <v>773.77689999999996</v>
      </c>
      <c r="L28" s="542" t="s">
        <v>622</v>
      </c>
      <c r="M28" s="423" t="s">
        <v>698</v>
      </c>
      <c r="N28" s="206">
        <v>51.689100000000003</v>
      </c>
      <c r="O28" s="546"/>
      <c r="R28" s="206"/>
    </row>
    <row r="29" spans="1:18" ht="15">
      <c r="A29" s="424">
        <v>190765</v>
      </c>
      <c r="B29" t="str">
        <f t="shared" si="0"/>
        <v>SEVROLL tesnenie na sklo 18/8mm symetrické</v>
      </c>
      <c r="C29" s="209">
        <f t="shared" si="1"/>
        <v>2.37086</v>
      </c>
      <c r="D29" s="542" t="s">
        <v>3235</v>
      </c>
      <c r="E29" s="542" t="s">
        <v>915</v>
      </c>
      <c r="F29" s="542" t="s">
        <v>3236</v>
      </c>
      <c r="G29" s="542" t="s">
        <v>2559</v>
      </c>
      <c r="H29" s="426">
        <v>68.292810000000003</v>
      </c>
      <c r="I29" s="425">
        <v>2.37086</v>
      </c>
      <c r="J29" s="425">
        <v>8.15</v>
      </c>
      <c r="K29" s="425">
        <v>773.77689999999996</v>
      </c>
      <c r="L29" s="542" t="s">
        <v>622</v>
      </c>
      <c r="M29" s="423" t="s">
        <v>698</v>
      </c>
      <c r="N29" s="206">
        <v>51.689100000000003</v>
      </c>
      <c r="O29" s="546"/>
      <c r="R29" s="206"/>
    </row>
    <row r="30" spans="1:18" ht="15">
      <c r="A30" s="424">
        <v>349733</v>
      </c>
      <c r="B30" t="str">
        <f t="shared" si="0"/>
        <v/>
      </c>
      <c r="C30" s="209">
        <f t="shared" si="1"/>
        <v>3.0790199999999999</v>
      </c>
      <c r="D30" s="542" t="s">
        <v>3274</v>
      </c>
      <c r="E30" s="542" t="s">
        <v>2472</v>
      </c>
      <c r="F30" s="542" t="s">
        <v>84</v>
      </c>
      <c r="G30" s="542" t="s">
        <v>84</v>
      </c>
      <c r="H30" s="426">
        <v>70.556399999999996</v>
      </c>
      <c r="I30" s="425">
        <v>3.0790199999999999</v>
      </c>
      <c r="J30" s="425">
        <v>14.6</v>
      </c>
      <c r="K30" s="425">
        <v>757.97238000000004</v>
      </c>
      <c r="L30" s="542" t="s">
        <v>622</v>
      </c>
      <c r="M30" s="423" t="s">
        <v>703</v>
      </c>
      <c r="N30" s="206">
        <v>54.043199999999999</v>
      </c>
      <c r="O30" s="546"/>
      <c r="R30" s="206"/>
    </row>
    <row r="31" spans="1:18" ht="15">
      <c r="A31" s="423" t="s">
        <v>83</v>
      </c>
      <c r="B31" t="str">
        <f t="shared" si="0"/>
        <v>SEVROLL tesnenie na sklo 18/4-4,5mm asymetr.</v>
      </c>
      <c r="C31" s="209">
        <f t="shared" si="1"/>
        <v>2.37086</v>
      </c>
      <c r="D31" s="542" t="s">
        <v>4172</v>
      </c>
      <c r="E31" s="542" t="s">
        <v>837</v>
      </c>
      <c r="F31" s="542" t="s">
        <v>4173</v>
      </c>
      <c r="G31" s="542" t="s">
        <v>2557</v>
      </c>
      <c r="H31" s="426">
        <v>68.292810000000003</v>
      </c>
      <c r="I31" s="425">
        <v>2.37086</v>
      </c>
      <c r="J31" s="425">
        <v>8.15</v>
      </c>
      <c r="K31" s="425">
        <v>773.77689999999996</v>
      </c>
      <c r="L31" s="542" t="s">
        <v>621</v>
      </c>
      <c r="M31" s="423" t="s">
        <v>698</v>
      </c>
      <c r="N31" s="206">
        <v>54.276159999999997</v>
      </c>
      <c r="O31" s="546"/>
      <c r="R31" s="206"/>
    </row>
    <row r="32" spans="1:18" ht="15">
      <c r="A32" s="424">
        <v>98060</v>
      </c>
      <c r="B32" t="str">
        <f t="shared" si="0"/>
        <v>SEVROLL spodný vozík WD 18C HI-TEC</v>
      </c>
      <c r="C32" s="209">
        <f t="shared" si="1"/>
        <v>0</v>
      </c>
      <c r="D32" s="542" t="s">
        <v>3272</v>
      </c>
      <c r="E32" s="542" t="s">
        <v>838</v>
      </c>
      <c r="F32" s="542" t="s">
        <v>3273</v>
      </c>
      <c r="G32" s="542" t="s">
        <v>1292</v>
      </c>
      <c r="H32" s="426">
        <v>0</v>
      </c>
      <c r="I32" s="425">
        <v>0</v>
      </c>
      <c r="J32" s="425">
        <v>0</v>
      </c>
      <c r="K32" s="425">
        <v>0</v>
      </c>
      <c r="L32" s="542" t="s">
        <v>622</v>
      </c>
      <c r="M32" s="423" t="s">
        <v>699</v>
      </c>
      <c r="N32" s="206">
        <v>56.8371</v>
      </c>
      <c r="O32" s="546"/>
      <c r="R32" s="206"/>
    </row>
    <row r="33" spans="1:18" ht="15">
      <c r="A33" s="424">
        <v>318812</v>
      </c>
      <c r="B33" t="str">
        <f t="shared" si="0"/>
        <v/>
      </c>
      <c r="C33" s="209" t="e">
        <f t="shared" si="1"/>
        <v>#N/A</v>
      </c>
      <c r="D33" s="542" t="s">
        <v>2476</v>
      </c>
      <c r="E33" s="542" t="s">
        <v>2477</v>
      </c>
      <c r="F33" s="542" t="s">
        <v>84</v>
      </c>
      <c r="G33" s="542" t="s">
        <v>84</v>
      </c>
      <c r="H33" s="426">
        <v>0</v>
      </c>
      <c r="I33" s="425" t="e">
        <v>#N/A</v>
      </c>
      <c r="J33" s="425">
        <v>0</v>
      </c>
      <c r="K33" s="425">
        <v>0</v>
      </c>
      <c r="L33" s="542" t="s">
        <v>622</v>
      </c>
      <c r="M33" s="423" t="s">
        <v>700</v>
      </c>
      <c r="N33" s="206">
        <v>58.143700000000003</v>
      </c>
      <c r="O33" s="546"/>
      <c r="R33" s="206"/>
    </row>
    <row r="34" spans="1:18" ht="15">
      <c r="A34" s="424">
        <v>89132</v>
      </c>
      <c r="B34" t="str">
        <f t="shared" si="0"/>
        <v>SEVROLL-182 UHOLNÍK 17*11 ZLATÁ 1,7M</v>
      </c>
      <c r="C34" s="209">
        <f t="shared" si="1"/>
        <v>3.1817299999999999</v>
      </c>
      <c r="D34" s="542" t="s">
        <v>3218</v>
      </c>
      <c r="E34" s="542" t="s">
        <v>840</v>
      </c>
      <c r="F34" s="542" t="s">
        <v>91</v>
      </c>
      <c r="G34" s="542" t="s">
        <v>2591</v>
      </c>
      <c r="H34" s="426">
        <v>83.97824</v>
      </c>
      <c r="I34" s="425">
        <v>3.1817299999999999</v>
      </c>
      <c r="J34" s="425">
        <v>10.52</v>
      </c>
      <c r="K34" s="425">
        <v>951.49722999999994</v>
      </c>
      <c r="L34" s="542" t="s">
        <v>622</v>
      </c>
      <c r="M34" s="423" t="s">
        <v>699</v>
      </c>
      <c r="N34" s="206">
        <v>58.143700000000003</v>
      </c>
      <c r="O34" s="546"/>
      <c r="R34" s="206"/>
    </row>
    <row r="35" spans="1:18" ht="15">
      <c r="A35" s="424">
        <v>349732</v>
      </c>
      <c r="B35" t="str">
        <f t="shared" ref="B35:B58" si="2">IF($A$2=1,D35,IF($A$2=2,F35,IF($A$2=3,G35,IF($A$2=4,E35,"zadat jazyk"))))</f>
        <v>SEVROLL horný vozík Blue(18mm)rámový (L+P)</v>
      </c>
      <c r="C35" s="209">
        <f t="shared" si="1"/>
        <v>3.8147199999999999</v>
      </c>
      <c r="D35" s="542" t="s">
        <v>4035</v>
      </c>
      <c r="E35" s="542" t="s">
        <v>2033</v>
      </c>
      <c r="F35" s="542" t="s">
        <v>4036</v>
      </c>
      <c r="G35" s="542" t="s">
        <v>84</v>
      </c>
      <c r="H35" s="426">
        <v>87.069599999999994</v>
      </c>
      <c r="I35" s="425">
        <v>3.8147199999999999</v>
      </c>
      <c r="J35" s="425">
        <v>14.21</v>
      </c>
      <c r="K35" s="425">
        <v>935.37018</v>
      </c>
      <c r="L35" s="542" t="s">
        <v>1025</v>
      </c>
      <c r="M35" s="423" t="s">
        <v>703</v>
      </c>
      <c r="N35" s="206">
        <v>60.048000000000002</v>
      </c>
      <c r="O35" s="546"/>
      <c r="R35" s="206"/>
    </row>
    <row r="36" spans="1:18" ht="15">
      <c r="A36" s="424">
        <v>89133</v>
      </c>
      <c r="B36" t="str">
        <f t="shared" si="2"/>
        <v>SEVROLL-182 UHOLNÍK 17*11 OLIVOVÁ 1,7M</v>
      </c>
      <c r="C36" s="209">
        <f t="shared" si="1"/>
        <v>3.1817299999999999</v>
      </c>
      <c r="D36" s="542" t="s">
        <v>4153</v>
      </c>
      <c r="E36" s="542" t="s">
        <v>841</v>
      </c>
      <c r="F36" s="542" t="s">
        <v>92</v>
      </c>
      <c r="G36" s="542" t="s">
        <v>2589</v>
      </c>
      <c r="H36" s="426">
        <v>83.97824</v>
      </c>
      <c r="I36" s="425">
        <v>3.1817299999999999</v>
      </c>
      <c r="J36" s="425">
        <v>10.52</v>
      </c>
      <c r="K36" s="425">
        <v>951.49722999999994</v>
      </c>
      <c r="L36" s="542" t="s">
        <v>621</v>
      </c>
      <c r="M36" s="423" t="s">
        <v>699</v>
      </c>
      <c r="N36" s="206">
        <v>60.756900000000002</v>
      </c>
      <c r="O36" s="546"/>
      <c r="R36" s="206"/>
    </row>
    <row r="37" spans="1:18" ht="15">
      <c r="A37" s="424">
        <v>89157</v>
      </c>
      <c r="B37" t="str">
        <f t="shared" si="2"/>
        <v>SEVROLL Micra horné/spod.vedenie 2,35m surov</v>
      </c>
      <c r="C37" s="209">
        <f t="shared" si="1"/>
        <v>3.8325399999999998</v>
      </c>
      <c r="D37" s="542" t="s">
        <v>4349</v>
      </c>
      <c r="E37" s="542" t="s">
        <v>849</v>
      </c>
      <c r="F37" s="542" t="s">
        <v>4350</v>
      </c>
      <c r="G37" s="542" t="s">
        <v>2250</v>
      </c>
      <c r="H37" s="426">
        <v>91.095039999999997</v>
      </c>
      <c r="I37" s="425">
        <v>3.8325399999999998</v>
      </c>
      <c r="J37" s="425">
        <v>10.77</v>
      </c>
      <c r="K37" s="425">
        <v>1032.1325899999999</v>
      </c>
      <c r="L37" s="542" t="s">
        <v>621</v>
      </c>
      <c r="M37" s="423" t="s">
        <v>699</v>
      </c>
      <c r="N37" s="206">
        <v>65.33</v>
      </c>
      <c r="O37" s="546"/>
      <c r="R37" s="206"/>
    </row>
    <row r="38" spans="1:18" ht="15">
      <c r="A38" s="424">
        <v>179772</v>
      </c>
      <c r="B38" t="str">
        <f t="shared" si="2"/>
        <v>SEVROLL-U prof.na DTD 10mm - 2m, STR.</v>
      </c>
      <c r="C38" s="209">
        <f t="shared" si="1"/>
        <v>3.4227699999999999</v>
      </c>
      <c r="D38" s="542" t="s">
        <v>3370</v>
      </c>
      <c r="E38" s="542" t="s">
        <v>714</v>
      </c>
      <c r="F38" s="542" t="s">
        <v>715</v>
      </c>
      <c r="G38" s="542" t="s">
        <v>2343</v>
      </c>
      <c r="H38" s="426">
        <v>98.923519999999996</v>
      </c>
      <c r="I38" s="425">
        <v>3.4227699999999999</v>
      </c>
      <c r="J38" s="425">
        <v>11.69</v>
      </c>
      <c r="K38" s="425">
        <v>1120.83149</v>
      </c>
      <c r="L38" s="542" t="s">
        <v>622</v>
      </c>
      <c r="M38" s="423" t="s">
        <v>699</v>
      </c>
      <c r="N38" s="206">
        <v>67.943200000000004</v>
      </c>
      <c r="O38" s="546"/>
      <c r="R38" s="206"/>
    </row>
    <row r="39" spans="1:18" ht="15">
      <c r="A39" s="424">
        <v>89137</v>
      </c>
      <c r="B39" t="str">
        <f t="shared" si="2"/>
        <v>SEVROLL-183 UHOLNÍK 17*11 STRIEBOR. 2,35</v>
      </c>
      <c r="C39" s="209">
        <f t="shared" si="1"/>
        <v>3.5673900000000001</v>
      </c>
      <c r="D39" s="542" t="s">
        <v>4148</v>
      </c>
      <c r="E39" s="542" t="s">
        <v>844</v>
      </c>
      <c r="F39" s="542" t="s">
        <v>96</v>
      </c>
      <c r="G39" s="542" t="s">
        <v>2593</v>
      </c>
      <c r="H39" s="426">
        <v>93.941760000000002</v>
      </c>
      <c r="I39" s="425">
        <v>3.5673900000000001</v>
      </c>
      <c r="J39" s="425">
        <v>11.1</v>
      </c>
      <c r="K39" s="425">
        <v>1064.3867399999999</v>
      </c>
      <c r="L39" s="542" t="s">
        <v>621</v>
      </c>
      <c r="M39" s="423" t="s">
        <v>699</v>
      </c>
      <c r="N39" s="206">
        <v>67.943200000000004</v>
      </c>
      <c r="O39" s="546"/>
      <c r="R39" s="206"/>
    </row>
    <row r="40" spans="1:18" ht="15">
      <c r="A40" s="424">
        <v>349942</v>
      </c>
      <c r="B40" t="str">
        <f t="shared" si="2"/>
        <v>SEVROLL horný vozík Blue 10mm asymetrický (L</v>
      </c>
      <c r="C40" s="209">
        <f t="shared" si="1"/>
        <v>3.8147199999999999</v>
      </c>
      <c r="D40" s="542" t="s">
        <v>4458</v>
      </c>
      <c r="E40" s="542" t="s">
        <v>2030</v>
      </c>
      <c r="F40" s="542" t="s">
        <v>4459</v>
      </c>
      <c r="G40" s="542" t="s">
        <v>84</v>
      </c>
      <c r="H40" s="426">
        <v>87.069599999999994</v>
      </c>
      <c r="I40" s="425">
        <v>3.8147199999999999</v>
      </c>
      <c r="J40" s="425">
        <v>14.21</v>
      </c>
      <c r="K40" s="425">
        <v>935.37018</v>
      </c>
      <c r="L40" s="542" t="s">
        <v>621</v>
      </c>
      <c r="M40" s="423" t="s">
        <v>703</v>
      </c>
      <c r="N40" s="206">
        <v>69.055199999999999</v>
      </c>
      <c r="O40" s="546"/>
      <c r="R40" s="206"/>
    </row>
    <row r="41" spans="1:18" ht="15">
      <c r="A41" s="424">
        <v>349734</v>
      </c>
      <c r="B41" t="str">
        <f t="shared" si="2"/>
        <v>SEV-horný vozík Blue(18mm)bezrámový (L+P)</v>
      </c>
      <c r="C41" s="209">
        <f t="shared" si="1"/>
        <v>3.8147199999999999</v>
      </c>
      <c r="D41" s="542" t="s">
        <v>4037</v>
      </c>
      <c r="E41" s="542" t="s">
        <v>2032</v>
      </c>
      <c r="F41" s="542" t="s">
        <v>4038</v>
      </c>
      <c r="G41" s="542" t="s">
        <v>84</v>
      </c>
      <c r="H41" s="426">
        <v>87.069599999999994</v>
      </c>
      <c r="I41" s="425">
        <v>3.8147199999999999</v>
      </c>
      <c r="J41" s="425">
        <v>10.92</v>
      </c>
      <c r="K41" s="425">
        <v>935.37018</v>
      </c>
      <c r="L41" s="542" t="s">
        <v>1025</v>
      </c>
      <c r="M41" s="423" t="s">
        <v>703</v>
      </c>
      <c r="N41" s="206">
        <v>69.055199999999999</v>
      </c>
      <c r="O41" s="546"/>
      <c r="R41" s="206"/>
    </row>
    <row r="42" spans="1:18" ht="15">
      <c r="A42" s="424">
        <v>276735</v>
      </c>
      <c r="B42" t="str">
        <f t="shared" si="2"/>
        <v>SEVROLL uholník 17x11mm 1,7m biela lesk</v>
      </c>
      <c r="C42" s="209">
        <f t="shared" si="1"/>
        <v>3.6638099999999998</v>
      </c>
      <c r="D42" s="542" t="s">
        <v>4154</v>
      </c>
      <c r="E42" s="542" t="s">
        <v>1471</v>
      </c>
      <c r="F42" s="542" t="s">
        <v>4155</v>
      </c>
      <c r="G42" s="542" t="s">
        <v>2599</v>
      </c>
      <c r="H42" s="426">
        <v>96.788480000000007</v>
      </c>
      <c r="I42" s="425">
        <v>3.6638099999999998</v>
      </c>
      <c r="J42" s="425">
        <v>12.51</v>
      </c>
      <c r="K42" s="425">
        <v>1096.6409000000001</v>
      </c>
      <c r="L42" s="542" t="s">
        <v>621</v>
      </c>
      <c r="M42" s="423" t="s">
        <v>699</v>
      </c>
      <c r="N42" s="206">
        <v>69.903099999999995</v>
      </c>
      <c r="O42" s="546"/>
      <c r="R42" s="206"/>
    </row>
    <row r="43" spans="1:18" ht="15">
      <c r="A43" s="427">
        <v>340612</v>
      </c>
      <c r="B43" t="str">
        <f t="shared" si="2"/>
        <v/>
      </c>
      <c r="C43" s="209" t="e">
        <f t="shared" si="1"/>
        <v>#N/A</v>
      </c>
      <c r="D43" s="542" t="s">
        <v>2709</v>
      </c>
      <c r="E43" s="542" t="s">
        <v>2718</v>
      </c>
      <c r="F43" s="542" t="s">
        <v>84</v>
      </c>
      <c r="G43" s="542" t="s">
        <v>84</v>
      </c>
      <c r="H43" s="426">
        <v>77.061599999999999</v>
      </c>
      <c r="I43" s="425" t="e">
        <v>#N/A</v>
      </c>
      <c r="J43" s="425">
        <v>11.54969</v>
      </c>
      <c r="K43" s="425">
        <v>927.49518</v>
      </c>
      <c r="L43" s="542" t="s">
        <v>622</v>
      </c>
      <c r="M43" s="428" t="s">
        <v>700</v>
      </c>
      <c r="N43" s="206">
        <v>70.334000000000003</v>
      </c>
      <c r="O43" s="546"/>
      <c r="R43" s="206"/>
    </row>
    <row r="44" spans="1:18" ht="15">
      <c r="A44" s="424">
        <v>213721</v>
      </c>
      <c r="B44" t="str">
        <f t="shared" si="2"/>
        <v>SEVROLL profil "U" Mini na DTD 18mm str. 3m</v>
      </c>
      <c r="C44" s="209">
        <f t="shared" si="1"/>
        <v>3.6396999999999999</v>
      </c>
      <c r="D44" s="542" t="s">
        <v>3371</v>
      </c>
      <c r="E44" s="542" t="s">
        <v>2337</v>
      </c>
      <c r="F44" s="542" t="s">
        <v>3372</v>
      </c>
      <c r="G44" s="542" t="s">
        <v>2338</v>
      </c>
      <c r="H44" s="426">
        <v>104.61696000000001</v>
      </c>
      <c r="I44" s="425">
        <v>3.6396999999999999</v>
      </c>
      <c r="J44" s="425">
        <v>12.63</v>
      </c>
      <c r="K44" s="425">
        <v>1185.33977</v>
      </c>
      <c r="L44" s="542" t="s">
        <v>622</v>
      </c>
      <c r="M44" s="423" t="s">
        <v>699</v>
      </c>
      <c r="N44" s="206">
        <v>71.863</v>
      </c>
      <c r="O44" s="546"/>
      <c r="R44" s="206"/>
    </row>
    <row r="45" spans="1:18" ht="15">
      <c r="A45" s="424">
        <v>89052</v>
      </c>
      <c r="B45" t="str">
        <f t="shared" si="2"/>
        <v>SEVROLL-278 UHOLNÍK K2 1,70M OLIVOVÁ</v>
      </c>
      <c r="C45" s="209">
        <f t="shared" si="1"/>
        <v>4.0735799999999998</v>
      </c>
      <c r="D45" s="542" t="s">
        <v>3194</v>
      </c>
      <c r="E45" s="542" t="s">
        <v>257</v>
      </c>
      <c r="F45" s="542" t="s">
        <v>3195</v>
      </c>
      <c r="G45" s="542" t="s">
        <v>2624</v>
      </c>
      <c r="H45" s="426">
        <v>109.59872</v>
      </c>
      <c r="I45" s="425">
        <v>4.0735799999999998</v>
      </c>
      <c r="J45" s="425">
        <v>14.21</v>
      </c>
      <c r="K45" s="425">
        <v>1241.7845400000001</v>
      </c>
      <c r="L45" s="542" t="s">
        <v>622</v>
      </c>
      <c r="M45" s="423" t="s">
        <v>699</v>
      </c>
      <c r="N45" s="206">
        <v>75.129499999999993</v>
      </c>
      <c r="O45" s="546"/>
      <c r="R45" s="206"/>
    </row>
    <row r="46" spans="1:18" ht="15">
      <c r="A46" s="424">
        <v>318656</v>
      </c>
      <c r="B46" t="str">
        <f t="shared" si="2"/>
        <v>SEVROLL maska ??Elegant II 1,7m biela lesk</v>
      </c>
      <c r="C46" s="209">
        <f t="shared" si="1"/>
        <v>3.7843300000000002</v>
      </c>
      <c r="D46" s="542" t="s">
        <v>4437</v>
      </c>
      <c r="E46" s="542" t="s">
        <v>2103</v>
      </c>
      <c r="F46" s="542" t="s">
        <v>4438</v>
      </c>
      <c r="G46" s="542" t="s">
        <v>2104</v>
      </c>
      <c r="H46" s="426">
        <v>104.61696000000001</v>
      </c>
      <c r="I46" s="425">
        <v>3.7843300000000002</v>
      </c>
      <c r="J46" s="425">
        <v>12.51</v>
      </c>
      <c r="K46" s="425">
        <v>1185.33977</v>
      </c>
      <c r="L46" s="542" t="s">
        <v>621</v>
      </c>
      <c r="M46" s="423" t="s">
        <v>699</v>
      </c>
      <c r="N46" s="206">
        <v>75.782799999999995</v>
      </c>
      <c r="O46" s="546"/>
      <c r="R46" s="206"/>
    </row>
    <row r="47" spans="1:18" ht="15">
      <c r="A47" s="424">
        <v>191011</v>
      </c>
      <c r="B47" t="str">
        <f t="shared" si="2"/>
        <v>SEVROLL-MICRA- HOR/DOL OLIVA 1,7M</v>
      </c>
      <c r="C47" s="209">
        <f t="shared" si="1"/>
        <v>4.0012600000000003</v>
      </c>
      <c r="D47" s="542" t="s">
        <v>3446</v>
      </c>
      <c r="E47" s="542" t="s">
        <v>2241</v>
      </c>
      <c r="F47" s="542" t="s">
        <v>793</v>
      </c>
      <c r="G47" s="542" t="s">
        <v>2242</v>
      </c>
      <c r="H47" s="426">
        <v>110.3104</v>
      </c>
      <c r="I47" s="425">
        <v>4.0012600000000003</v>
      </c>
      <c r="J47" s="425">
        <v>13.04</v>
      </c>
      <c r="K47" s="425">
        <v>1249.84808</v>
      </c>
      <c r="L47" s="542" t="s">
        <v>622</v>
      </c>
      <c r="M47" s="423" t="s">
        <v>699</v>
      </c>
      <c r="N47" s="206">
        <v>75.782799999999995</v>
      </c>
      <c r="O47" s="546"/>
      <c r="R47" s="206"/>
    </row>
    <row r="48" spans="1:18" ht="15">
      <c r="A48" s="424">
        <v>343615</v>
      </c>
      <c r="B48" t="str">
        <f t="shared" si="2"/>
        <v/>
      </c>
      <c r="C48" s="209">
        <f t="shared" si="1"/>
        <v>3.7602199999999999</v>
      </c>
      <c r="D48" s="542" t="s">
        <v>3412</v>
      </c>
      <c r="E48" s="542" t="s">
        <v>2283</v>
      </c>
      <c r="F48" s="542" t="s">
        <v>84</v>
      </c>
      <c r="G48" s="542" t="s">
        <v>84</v>
      </c>
      <c r="H48" s="426">
        <v>111.73376</v>
      </c>
      <c r="I48" s="425">
        <v>3.7602199999999999</v>
      </c>
      <c r="J48" s="425">
        <v>13.2</v>
      </c>
      <c r="K48" s="425">
        <v>1265.97513</v>
      </c>
      <c r="L48" s="542" t="s">
        <v>622</v>
      </c>
      <c r="M48" s="423" t="s">
        <v>699</v>
      </c>
      <c r="N48" s="206">
        <v>77.089399999999998</v>
      </c>
      <c r="O48" s="546"/>
      <c r="R48" s="206"/>
    </row>
    <row r="49" spans="1:18" ht="15">
      <c r="A49" s="424">
        <v>84192</v>
      </c>
      <c r="B49" t="str">
        <f t="shared" si="2"/>
        <v>SEVROLL-SMART SPODNÉ VEDENIE 1,7M STRIE.</v>
      </c>
      <c r="C49" s="209">
        <f t="shared" si="1"/>
        <v>4.0012600000000003</v>
      </c>
      <c r="D49" s="542" t="s">
        <v>4281</v>
      </c>
      <c r="E49" s="542" t="s">
        <v>890</v>
      </c>
      <c r="F49" s="542" t="s">
        <v>107</v>
      </c>
      <c r="G49" s="542" t="s">
        <v>2425</v>
      </c>
      <c r="H49" s="426">
        <v>107.46368</v>
      </c>
      <c r="I49" s="425">
        <v>4.0012600000000003</v>
      </c>
      <c r="J49" s="425">
        <v>14.58</v>
      </c>
      <c r="K49" s="425">
        <v>1217.59392</v>
      </c>
      <c r="L49" s="542" t="s">
        <v>621</v>
      </c>
      <c r="M49" s="423" t="s">
        <v>699</v>
      </c>
      <c r="N49" s="206">
        <v>77.089399999999998</v>
      </c>
      <c r="O49" s="546"/>
      <c r="R49" s="206"/>
    </row>
    <row r="50" spans="1:18" ht="15">
      <c r="A50" s="424">
        <v>135156</v>
      </c>
      <c r="B50" t="str">
        <f t="shared" si="2"/>
        <v>SEVROLL okrasná lišta S10 3m strieborná</v>
      </c>
      <c r="C50" s="209">
        <f t="shared" si="1"/>
        <v>3.80843</v>
      </c>
      <c r="D50" s="542" t="s">
        <v>4329</v>
      </c>
      <c r="E50" s="542" t="s">
        <v>1371</v>
      </c>
      <c r="F50" s="542" t="s">
        <v>4330</v>
      </c>
      <c r="G50" s="542" t="s">
        <v>2263</v>
      </c>
      <c r="H50" s="426">
        <v>109.59872</v>
      </c>
      <c r="I50" s="425">
        <v>3.80843</v>
      </c>
      <c r="J50" s="425">
        <v>12.95</v>
      </c>
      <c r="K50" s="425">
        <v>1241.7845400000001</v>
      </c>
      <c r="L50" s="542" t="s">
        <v>621</v>
      </c>
      <c r="M50" s="423" t="s">
        <v>699</v>
      </c>
      <c r="N50" s="206">
        <v>79.049300000000002</v>
      </c>
      <c r="O50" s="546"/>
      <c r="R50" s="206"/>
    </row>
    <row r="51" spans="1:18" ht="15">
      <c r="A51" s="424">
        <v>89050</v>
      </c>
      <c r="B51" t="str">
        <f t="shared" si="2"/>
        <v>SEVROLL-278 UHOLNÍK K2 1,70M STRIEBORNÁ</v>
      </c>
      <c r="C51" s="209">
        <f t="shared" si="1"/>
        <v>3.7843300000000002</v>
      </c>
      <c r="D51" s="542" t="s">
        <v>4134</v>
      </c>
      <c r="E51" s="542" t="s">
        <v>273</v>
      </c>
      <c r="F51" s="542" t="s">
        <v>4135</v>
      </c>
      <c r="G51" s="542" t="s">
        <v>2627</v>
      </c>
      <c r="H51" s="426">
        <v>109.59872</v>
      </c>
      <c r="I51" s="425">
        <v>3.7843300000000002</v>
      </c>
      <c r="J51" s="425">
        <v>12.95</v>
      </c>
      <c r="K51" s="425">
        <v>1241.7845400000001</v>
      </c>
      <c r="L51" s="542" t="s">
        <v>621</v>
      </c>
      <c r="M51" s="423" t="s">
        <v>699</v>
      </c>
      <c r="N51" s="206">
        <v>79.049300000000002</v>
      </c>
      <c r="O51" s="546"/>
      <c r="R51" s="206"/>
    </row>
    <row r="52" spans="1:18" ht="15">
      <c r="A52" s="424">
        <v>89150</v>
      </c>
      <c r="B52" t="str">
        <f t="shared" si="2"/>
        <v>SEVROLL Micra horn/spod.vedenie 1,7m str.elo</v>
      </c>
      <c r="C52" s="209">
        <f t="shared" si="1"/>
        <v>4.0012600000000003</v>
      </c>
      <c r="D52" s="542" t="s">
        <v>4355</v>
      </c>
      <c r="E52" s="542" t="s">
        <v>2243</v>
      </c>
      <c r="F52" s="542" t="s">
        <v>4356</v>
      </c>
      <c r="G52" s="542" t="s">
        <v>2244</v>
      </c>
      <c r="H52" s="426">
        <v>110.3104</v>
      </c>
      <c r="I52" s="425">
        <v>4.0012600000000003</v>
      </c>
      <c r="J52" s="425">
        <v>13.04</v>
      </c>
      <c r="K52" s="425">
        <v>1249.84808</v>
      </c>
      <c r="L52" s="542" t="s">
        <v>621</v>
      </c>
      <c r="M52" s="423" t="s">
        <v>699</v>
      </c>
      <c r="N52" s="206">
        <v>79.702600000000004</v>
      </c>
      <c r="O52" s="546"/>
      <c r="R52" s="206"/>
    </row>
    <row r="53" spans="1:18" ht="15">
      <c r="A53" s="424">
        <v>229447</v>
      </c>
      <c r="B53" t="str">
        <f t="shared" si="2"/>
        <v>SEVROLL spod.vozík Simple (bezrám. 18mm)-2ks</v>
      </c>
      <c r="C53" s="209">
        <f t="shared" si="1"/>
        <v>4.5776599999999998</v>
      </c>
      <c r="D53" s="542" t="s">
        <v>4227</v>
      </c>
      <c r="E53" s="542" t="s">
        <v>2478</v>
      </c>
      <c r="F53" s="542" t="s">
        <v>4228</v>
      </c>
      <c r="G53" s="542" t="s">
        <v>2479</v>
      </c>
      <c r="H53" s="426">
        <v>111.8394</v>
      </c>
      <c r="I53" s="425">
        <v>4.5776599999999998</v>
      </c>
      <c r="J53" s="425">
        <v>12.53</v>
      </c>
      <c r="K53" s="425">
        <v>1201.46685</v>
      </c>
      <c r="L53" s="542" t="s">
        <v>621</v>
      </c>
      <c r="M53" s="423" t="s">
        <v>703</v>
      </c>
      <c r="N53" s="206">
        <v>82.566000000000003</v>
      </c>
      <c r="O53" s="546"/>
      <c r="R53" s="206"/>
    </row>
    <row r="54" spans="1:18" ht="15">
      <c r="A54" s="424">
        <v>89158</v>
      </c>
      <c r="B54" t="str">
        <f t="shared" si="2"/>
        <v>SEVROLL Micra horné/spod.vedenie 3m surová</v>
      </c>
      <c r="C54" s="209">
        <f t="shared" si="1"/>
        <v>4.8690100000000003</v>
      </c>
      <c r="D54" s="542" t="s">
        <v>4345</v>
      </c>
      <c r="E54" s="542" t="s">
        <v>850</v>
      </c>
      <c r="F54" s="542" t="s">
        <v>4346</v>
      </c>
      <c r="G54" s="542" t="s">
        <v>2253</v>
      </c>
      <c r="H54" s="426">
        <v>115.29216</v>
      </c>
      <c r="I54" s="425">
        <v>4.8690100000000003</v>
      </c>
      <c r="J54" s="425">
        <v>13.62</v>
      </c>
      <c r="K54" s="425">
        <v>1306.2928199999999</v>
      </c>
      <c r="L54" s="542" t="s">
        <v>621</v>
      </c>
      <c r="M54" s="423" t="s">
        <v>699</v>
      </c>
      <c r="N54" s="206">
        <v>82.969099999999997</v>
      </c>
      <c r="O54" s="546"/>
      <c r="R54" s="206"/>
    </row>
    <row r="55" spans="1:18" ht="15">
      <c r="A55" s="424">
        <v>89136</v>
      </c>
      <c r="B55" t="str">
        <f t="shared" si="2"/>
        <v>SEVROLL-183 UHOLNÍK 17*11 OLIVOVÁ 2,35M</v>
      </c>
      <c r="C55" s="209">
        <f t="shared" si="1"/>
        <v>4.4351399999999996</v>
      </c>
      <c r="D55" s="542" t="s">
        <v>4149</v>
      </c>
      <c r="E55" s="542" t="s">
        <v>843</v>
      </c>
      <c r="F55" s="542" t="s">
        <v>95</v>
      </c>
      <c r="G55" s="542" t="s">
        <v>2592</v>
      </c>
      <c r="H55" s="426">
        <v>116.71552</v>
      </c>
      <c r="I55" s="425">
        <v>4.4351399999999996</v>
      </c>
      <c r="J55" s="425">
        <v>14.55</v>
      </c>
      <c r="K55" s="425">
        <v>1322.4199000000001</v>
      </c>
      <c r="L55" s="542" t="s">
        <v>621</v>
      </c>
      <c r="M55" s="423" t="s">
        <v>699</v>
      </c>
      <c r="N55" s="206">
        <v>84.275700000000001</v>
      </c>
      <c r="O55" s="546"/>
      <c r="R55" s="206"/>
    </row>
    <row r="56" spans="1:18" ht="15">
      <c r="A56" s="424">
        <v>89135</v>
      </c>
      <c r="B56" t="str">
        <f t="shared" si="2"/>
        <v>SEVROLL-183 UHOLNÍK 17*11 ZLATÁ 2,35M</v>
      </c>
      <c r="C56" s="209">
        <f t="shared" si="1"/>
        <v>4.4351399999999996</v>
      </c>
      <c r="D56" s="542" t="s">
        <v>3217</v>
      </c>
      <c r="E56" s="542" t="s">
        <v>2594</v>
      </c>
      <c r="F56" s="542" t="s">
        <v>94</v>
      </c>
      <c r="G56" s="542" t="s">
        <v>2595</v>
      </c>
      <c r="H56" s="426">
        <v>116.71552</v>
      </c>
      <c r="I56" s="425">
        <v>4.4351399999999996</v>
      </c>
      <c r="J56" s="425">
        <v>14.55</v>
      </c>
      <c r="K56" s="425">
        <v>1322.4199000000001</v>
      </c>
      <c r="L56" s="542" t="s">
        <v>622</v>
      </c>
      <c r="M56" s="423" t="s">
        <v>699</v>
      </c>
      <c r="N56" s="206">
        <v>84.275700000000001</v>
      </c>
      <c r="O56" s="546"/>
      <c r="R56" s="206"/>
    </row>
    <row r="57" spans="1:18" ht="15">
      <c r="A57" s="424">
        <v>89140</v>
      </c>
      <c r="B57" t="str">
        <f t="shared" si="2"/>
        <v>SEVROLL-184 UHOLNÍK 17*11 STRIEBOR. 3M</v>
      </c>
      <c r="C57" s="209">
        <f t="shared" si="1"/>
        <v>4.4833400000000001</v>
      </c>
      <c r="D57" s="542" t="s">
        <v>4144</v>
      </c>
      <c r="E57" s="542" t="s">
        <v>847</v>
      </c>
      <c r="F57" s="542" t="s">
        <v>99</v>
      </c>
      <c r="G57" s="542" t="s">
        <v>2597</v>
      </c>
      <c r="H57" s="426">
        <v>118.13888</v>
      </c>
      <c r="I57" s="425">
        <v>4.4833400000000001</v>
      </c>
      <c r="J57" s="425">
        <v>15.83</v>
      </c>
      <c r="K57" s="425">
        <v>1338.5469700000001</v>
      </c>
      <c r="L57" s="542" t="s">
        <v>621</v>
      </c>
      <c r="M57" s="423" t="s">
        <v>699</v>
      </c>
      <c r="N57" s="206">
        <v>85.582300000000004</v>
      </c>
      <c r="O57" s="546"/>
      <c r="R57" s="206"/>
    </row>
    <row r="58" spans="1:18" ht="15">
      <c r="A58" s="424">
        <v>308595</v>
      </c>
      <c r="B58" t="str">
        <f t="shared" si="2"/>
        <v>SEVROLL profil "U" Mini na DTD 18mm oliva 3m</v>
      </c>
      <c r="C58" s="209">
        <f t="shared" si="1"/>
        <v>4.4351399999999996</v>
      </c>
      <c r="D58" s="542" t="s">
        <v>3373</v>
      </c>
      <c r="E58" s="542" t="s">
        <v>2335</v>
      </c>
      <c r="F58" s="542" t="s">
        <v>3374</v>
      </c>
      <c r="G58" s="542" t="s">
        <v>2336</v>
      </c>
      <c r="H58" s="426">
        <v>127.39072</v>
      </c>
      <c r="I58" s="425">
        <v>4.4351399999999996</v>
      </c>
      <c r="J58" s="425">
        <v>15.36</v>
      </c>
      <c r="K58" s="425">
        <v>1443.37292</v>
      </c>
      <c r="L58" s="542" t="s">
        <v>622</v>
      </c>
      <c r="M58" s="423" t="s">
        <v>699</v>
      </c>
      <c r="N58" s="206">
        <v>87.542199999999994</v>
      </c>
      <c r="O58" s="546"/>
      <c r="R58" s="206"/>
    </row>
    <row r="59" spans="1:18" ht="15">
      <c r="A59" s="424">
        <v>345403</v>
      </c>
      <c r="B59" t="str">
        <f>IF($A$2=1,D59,IF($A$2=2,F62,IF($A$2=3,G59,IF($A$2=4,E59,"zadat jazyk"))))</f>
        <v>SEVROLL uholník K2 1,7m čierna kartáč</v>
      </c>
      <c r="C59" s="209">
        <f t="shared" si="1"/>
        <v>4.5315500000000002</v>
      </c>
      <c r="D59" s="542" t="s">
        <v>3528</v>
      </c>
      <c r="E59" s="542" t="s">
        <v>2105</v>
      </c>
      <c r="F59" s="542" t="s">
        <v>84</v>
      </c>
      <c r="G59" s="542" t="s">
        <v>3529</v>
      </c>
      <c r="H59" s="426">
        <v>125.25568</v>
      </c>
      <c r="I59" s="425">
        <v>4.5315500000000002</v>
      </c>
      <c r="J59" s="425">
        <v>15.71</v>
      </c>
      <c r="K59" s="425">
        <v>1419.1823300000001</v>
      </c>
      <c r="L59" s="542" t="s">
        <v>621</v>
      </c>
      <c r="M59" s="423" t="s">
        <v>699</v>
      </c>
      <c r="N59" s="206">
        <v>90.1554</v>
      </c>
      <c r="O59" s="546"/>
      <c r="R59" s="206"/>
    </row>
    <row r="60" spans="1:18" ht="15">
      <c r="A60" s="424">
        <v>345401</v>
      </c>
      <c r="B60" t="str">
        <f>IF($A$2=1,D60,IF($A$2=2,F60,IF($A$2=3,#REF!,IF($A$2=4,E60,"zadat jazyk"))))</f>
        <v>SEVROLL maska Elegant II 1,7m oliva kartáčovaná</v>
      </c>
      <c r="C60" s="209">
        <f t="shared" si="1"/>
        <v>4.5315500000000002</v>
      </c>
      <c r="D60" s="542" t="s">
        <v>4433</v>
      </c>
      <c r="E60" s="542" t="s">
        <v>2107</v>
      </c>
      <c r="F60" s="542" t="s">
        <v>4433</v>
      </c>
      <c r="G60" s="542" t="s">
        <v>4434</v>
      </c>
      <c r="H60" s="426">
        <v>125.25568</v>
      </c>
      <c r="I60" s="425">
        <v>4.5315500000000002</v>
      </c>
      <c r="J60" s="425">
        <v>15.71</v>
      </c>
      <c r="K60" s="425">
        <v>1419.1823300000001</v>
      </c>
      <c r="L60" s="542" t="s">
        <v>621</v>
      </c>
      <c r="M60" s="423" t="s">
        <v>699</v>
      </c>
      <c r="N60" s="206">
        <v>90.1554</v>
      </c>
      <c r="O60" s="546"/>
      <c r="R60" s="206"/>
    </row>
    <row r="61" spans="1:18" ht="15">
      <c r="A61" s="424">
        <v>345402</v>
      </c>
      <c r="B61" t="e">
        <f>IF($A$2=1,D61,IF($A$2=2,#REF!,IF($A$2=3,#REF!,IF($A$2=4,E61,"zadat jazyk"))))</f>
        <v>#REF!</v>
      </c>
      <c r="C61" s="209">
        <f t="shared" si="1"/>
        <v>4.5315500000000002</v>
      </c>
      <c r="D61" s="542" t="s">
        <v>3526</v>
      </c>
      <c r="E61" s="542" t="s">
        <v>2108</v>
      </c>
      <c r="F61" s="542" t="s">
        <v>84</v>
      </c>
      <c r="G61" s="542" t="s">
        <v>3527</v>
      </c>
      <c r="H61" s="426">
        <v>125.25568</v>
      </c>
      <c r="I61" s="425">
        <v>4.5315500000000002</v>
      </c>
      <c r="J61" s="425">
        <v>15.71</v>
      </c>
      <c r="K61" s="425">
        <v>1419.1823300000001</v>
      </c>
      <c r="L61" s="542" t="s">
        <v>622</v>
      </c>
      <c r="M61" s="423" t="s">
        <v>699</v>
      </c>
      <c r="N61" s="206">
        <v>90.1554</v>
      </c>
      <c r="O61" s="546"/>
      <c r="R61" s="206"/>
    </row>
    <row r="62" spans="1:18" ht="15">
      <c r="A62" s="424">
        <v>223392</v>
      </c>
      <c r="B62" t="str">
        <f t="shared" ref="B62:B97" si="3">IF($A$2=1,D62,IF($A$2=2,F62,IF($A$2=3,G62,IF($A$2=4,E62,"zadat jazyk"))))</f>
        <v>SEVROLL uholník K2 1,7m čierna kartáč</v>
      </c>
      <c r="C62" s="209">
        <f t="shared" si="1"/>
        <v>4.72438</v>
      </c>
      <c r="D62" s="542" t="s">
        <v>3204</v>
      </c>
      <c r="E62" s="542" t="s">
        <v>1022</v>
      </c>
      <c r="F62" s="542" t="s">
        <v>3205</v>
      </c>
      <c r="G62" s="542" t="s">
        <v>2615</v>
      </c>
      <c r="H62" s="426">
        <v>135.93088</v>
      </c>
      <c r="I62" s="425">
        <v>4.72438</v>
      </c>
      <c r="J62" s="425">
        <v>16.68</v>
      </c>
      <c r="K62" s="425">
        <v>1540.13536</v>
      </c>
      <c r="L62" s="542" t="s">
        <v>622</v>
      </c>
      <c r="M62" s="423" t="s">
        <v>699</v>
      </c>
      <c r="N62" s="206">
        <v>94.075199999999995</v>
      </c>
      <c r="O62" s="546"/>
      <c r="R62" s="206"/>
    </row>
    <row r="63" spans="1:18" ht="15">
      <c r="A63" s="424">
        <v>349736</v>
      </c>
      <c r="B63" t="str">
        <f t="shared" si="3"/>
        <v/>
      </c>
      <c r="C63" s="209">
        <f t="shared" si="1"/>
        <v>5.3133600000000003</v>
      </c>
      <c r="D63" s="542" t="s">
        <v>3275</v>
      </c>
      <c r="E63" s="542" t="s">
        <v>2471</v>
      </c>
      <c r="F63" s="542" t="s">
        <v>84</v>
      </c>
      <c r="G63" s="542" t="s">
        <v>84</v>
      </c>
      <c r="H63" s="426">
        <v>121.5972</v>
      </c>
      <c r="I63" s="425">
        <v>5.3133600000000003</v>
      </c>
      <c r="J63" s="425">
        <v>15.75</v>
      </c>
      <c r="K63" s="425">
        <v>1306.2928199999999</v>
      </c>
      <c r="L63" s="542" t="s">
        <v>622</v>
      </c>
      <c r="M63" s="423" t="s">
        <v>703</v>
      </c>
      <c r="N63" s="206">
        <v>94.575599999999994</v>
      </c>
      <c r="O63" s="546"/>
      <c r="R63" s="206"/>
    </row>
    <row r="64" spans="1:18" ht="15">
      <c r="A64" s="429">
        <v>98035</v>
      </c>
      <c r="B64" t="str">
        <f t="shared" si="3"/>
        <v>SEVROLL Exclusive brzda gumová (2ks)</v>
      </c>
      <c r="C64" s="209">
        <f t="shared" si="1"/>
        <v>4.4592400000000003</v>
      </c>
      <c r="D64" s="542" t="s">
        <v>3801</v>
      </c>
      <c r="E64" s="542" t="s">
        <v>2769</v>
      </c>
      <c r="F64" s="542" t="s">
        <v>3802</v>
      </c>
      <c r="G64" s="542" t="s">
        <v>2850</v>
      </c>
      <c r="H64" s="426">
        <v>132.68940000000001</v>
      </c>
      <c r="I64" s="425">
        <v>4.4592400000000003</v>
      </c>
      <c r="J64" s="425">
        <v>15.28</v>
      </c>
      <c r="K64" s="425">
        <v>1491.75415</v>
      </c>
      <c r="L64" s="542" t="s">
        <v>622</v>
      </c>
      <c r="M64" s="430" t="s">
        <v>699</v>
      </c>
      <c r="N64" s="206">
        <v>95.921120000000002</v>
      </c>
      <c r="O64" s="546"/>
      <c r="R64" s="206"/>
    </row>
    <row r="65" spans="1:18" ht="15">
      <c r="A65" s="424">
        <v>135157</v>
      </c>
      <c r="B65" t="str">
        <f t="shared" si="3"/>
        <v>SEVROLL okrasná lišta S10 3m oliva</v>
      </c>
      <c r="C65" s="209">
        <f t="shared" si="1"/>
        <v>4.6279700000000004</v>
      </c>
      <c r="D65" s="542" t="s">
        <v>4331</v>
      </c>
      <c r="E65" s="542" t="s">
        <v>1372</v>
      </c>
      <c r="F65" s="542" t="s">
        <v>4331</v>
      </c>
      <c r="G65" s="542" t="s">
        <v>2262</v>
      </c>
      <c r="H65" s="426">
        <v>133.08416</v>
      </c>
      <c r="I65" s="425">
        <v>4.6279700000000004</v>
      </c>
      <c r="J65" s="425">
        <v>15.73</v>
      </c>
      <c r="K65" s="425">
        <v>1507.88121</v>
      </c>
      <c r="L65" s="542" t="s">
        <v>621</v>
      </c>
      <c r="M65" s="423" t="s">
        <v>699</v>
      </c>
      <c r="N65" s="206">
        <v>96.0351</v>
      </c>
      <c r="O65" s="546"/>
      <c r="R65" s="206"/>
    </row>
    <row r="66" spans="1:18" ht="15">
      <c r="A66" s="424">
        <v>270114</v>
      </c>
      <c r="B66" t="str">
        <f t="shared" si="3"/>
        <v>SEVROLL uholník 10x10mm 3m strieb</v>
      </c>
      <c r="C66" s="209">
        <f t="shared" si="1"/>
        <v>4.6520700000000001</v>
      </c>
      <c r="D66" s="542" t="s">
        <v>3221</v>
      </c>
      <c r="E66" s="542" t="s">
        <v>1434</v>
      </c>
      <c r="F66" s="542" t="s">
        <v>3222</v>
      </c>
      <c r="G66" s="542" t="s">
        <v>2587</v>
      </c>
      <c r="H66" s="426">
        <v>133.79584</v>
      </c>
      <c r="I66" s="425">
        <v>4.6520700000000001</v>
      </c>
      <c r="J66" s="425">
        <v>15.81</v>
      </c>
      <c r="K66" s="425">
        <v>1515.9447500000001</v>
      </c>
      <c r="L66" s="542" t="s">
        <v>622</v>
      </c>
      <c r="M66" s="423" t="s">
        <v>699</v>
      </c>
      <c r="N66" s="206">
        <v>96.688400000000001</v>
      </c>
      <c r="O66" s="546"/>
      <c r="R66" s="206"/>
    </row>
    <row r="67" spans="1:18" ht="15">
      <c r="A67" s="424">
        <v>276732</v>
      </c>
      <c r="B67" t="str">
        <f t="shared" si="3"/>
        <v>SEVROLL uholník 17x11mm 2,35m biela lesk</v>
      </c>
      <c r="C67" s="209">
        <f t="shared" ref="C67:C130" si="4">IF($A$2=1,H67,IF($A$2=2,I67,IF($A$2=3,J67,IF($A$2=4,K67,"zadat jazyk"))))</f>
        <v>5.1100500000000002</v>
      </c>
      <c r="D67" s="542" t="s">
        <v>4150</v>
      </c>
      <c r="E67" s="542" t="s">
        <v>1470</v>
      </c>
      <c r="F67" s="542" t="s">
        <v>4151</v>
      </c>
      <c r="G67" s="542" t="s">
        <v>2600</v>
      </c>
      <c r="H67" s="426">
        <v>134.50752</v>
      </c>
      <c r="I67" s="425">
        <v>5.1100500000000002</v>
      </c>
      <c r="J67" s="425">
        <v>17.32</v>
      </c>
      <c r="K67" s="425">
        <v>1524.00828</v>
      </c>
      <c r="L67" s="542" t="s">
        <v>621</v>
      </c>
      <c r="M67" s="423" t="s">
        <v>699</v>
      </c>
      <c r="N67" s="206">
        <v>97.341700000000003</v>
      </c>
      <c r="O67" s="546"/>
      <c r="R67" s="206"/>
    </row>
    <row r="68" spans="1:18" ht="15">
      <c r="A68" s="424">
        <v>349857</v>
      </c>
      <c r="B68" t="str">
        <f t="shared" si="3"/>
        <v/>
      </c>
      <c r="C68" s="209">
        <f t="shared" si="4"/>
        <v>5.85832</v>
      </c>
      <c r="D68" s="542" t="s">
        <v>3914</v>
      </c>
      <c r="E68" s="542" t="s">
        <v>1598</v>
      </c>
      <c r="F68" s="542" t="s">
        <v>84</v>
      </c>
      <c r="G68" s="542" t="s">
        <v>84</v>
      </c>
      <c r="H68" s="426">
        <v>133.60679999999999</v>
      </c>
      <c r="I68" s="425">
        <v>5.85832</v>
      </c>
      <c r="J68" s="425">
        <v>20.45</v>
      </c>
      <c r="K68" s="425">
        <v>1435.3093899999999</v>
      </c>
      <c r="L68" s="542" t="s">
        <v>622</v>
      </c>
      <c r="M68" s="423" t="s">
        <v>699</v>
      </c>
      <c r="N68" s="206">
        <v>97.578000000000003</v>
      </c>
      <c r="O68" s="546"/>
      <c r="R68" s="206"/>
    </row>
    <row r="69" spans="1:18" ht="15">
      <c r="A69" s="424">
        <v>89269</v>
      </c>
      <c r="B69" t="str">
        <f t="shared" si="3"/>
        <v>SEVROLL profil "U" pre DTD 18mm 3m striebor</v>
      </c>
      <c r="C69" s="209">
        <f t="shared" si="4"/>
        <v>5.0618400000000001</v>
      </c>
      <c r="D69" s="542" t="s">
        <v>4305</v>
      </c>
      <c r="E69" s="542" t="s">
        <v>860</v>
      </c>
      <c r="F69" s="542" t="s">
        <v>4306</v>
      </c>
      <c r="G69" s="542" t="s">
        <v>2347</v>
      </c>
      <c r="H69" s="426">
        <v>135.93088</v>
      </c>
      <c r="I69" s="425">
        <v>5.0618400000000001</v>
      </c>
      <c r="J69" s="425">
        <v>16.059999999999999</v>
      </c>
      <c r="K69" s="425">
        <v>1540.13536</v>
      </c>
      <c r="L69" s="542" t="s">
        <v>621</v>
      </c>
      <c r="M69" s="423" t="s">
        <v>699</v>
      </c>
      <c r="N69" s="206">
        <v>98.648300000000006</v>
      </c>
      <c r="O69" s="546"/>
      <c r="R69" s="206"/>
    </row>
    <row r="70" spans="1:18" ht="15">
      <c r="A70" s="424">
        <v>223326</v>
      </c>
      <c r="B70" t="str">
        <f t="shared" si="3"/>
        <v>SEVROLL úholník K2 1,7m oliva tmavá kartáč</v>
      </c>
      <c r="C70" s="209">
        <f t="shared" si="4"/>
        <v>4.72438</v>
      </c>
      <c r="D70" s="542" t="s">
        <v>3202</v>
      </c>
      <c r="E70" s="542" t="s">
        <v>2616</v>
      </c>
      <c r="F70" s="542" t="s">
        <v>3203</v>
      </c>
      <c r="G70" s="542" t="s">
        <v>2617</v>
      </c>
      <c r="H70" s="426">
        <v>135.93088</v>
      </c>
      <c r="I70" s="425">
        <v>4.72438</v>
      </c>
      <c r="J70" s="425">
        <v>16.68</v>
      </c>
      <c r="K70" s="425">
        <v>1540.13536</v>
      </c>
      <c r="L70" s="542" t="s">
        <v>622</v>
      </c>
      <c r="M70" s="423" t="s">
        <v>699</v>
      </c>
      <c r="N70" s="206">
        <v>98.648300000000006</v>
      </c>
      <c r="O70" s="546"/>
      <c r="R70" s="206"/>
    </row>
    <row r="71" spans="1:18" ht="15">
      <c r="A71" s="424">
        <v>191700</v>
      </c>
      <c r="B71" t="str">
        <f t="shared" si="3"/>
        <v>SEVROLL uholník K2 Decor 1,7m oliva kartáčov</v>
      </c>
      <c r="C71" s="209">
        <f t="shared" si="4"/>
        <v>4.72438</v>
      </c>
      <c r="D71" s="542" t="s">
        <v>4136</v>
      </c>
      <c r="E71" s="542" t="s">
        <v>2625</v>
      </c>
      <c r="F71" s="542" t="s">
        <v>4137</v>
      </c>
      <c r="G71" s="542" t="s">
        <v>2626</v>
      </c>
      <c r="H71" s="426">
        <v>135.93088</v>
      </c>
      <c r="I71" s="425">
        <v>4.72438</v>
      </c>
      <c r="J71" s="425">
        <v>16.68</v>
      </c>
      <c r="K71" s="425">
        <v>1540.13536</v>
      </c>
      <c r="L71" s="542" t="s">
        <v>621</v>
      </c>
      <c r="M71" s="423" t="s">
        <v>699</v>
      </c>
      <c r="N71" s="206">
        <v>98.648300000000006</v>
      </c>
      <c r="O71" s="546"/>
      <c r="R71" s="206"/>
    </row>
    <row r="72" spans="1:18" ht="15">
      <c r="A72" s="424">
        <v>349735</v>
      </c>
      <c r="B72" t="str">
        <f t="shared" si="3"/>
        <v>SEVROLL spodný vozík Blue V (bezrámový pre 1</v>
      </c>
      <c r="C72" s="209">
        <f t="shared" si="4"/>
        <v>5.3133600000000003</v>
      </c>
      <c r="D72" s="542" t="s">
        <v>4011</v>
      </c>
      <c r="E72" s="542" t="s">
        <v>2473</v>
      </c>
      <c r="F72" s="542" t="s">
        <v>4012</v>
      </c>
      <c r="G72" s="542" t="s">
        <v>84</v>
      </c>
      <c r="H72" s="426">
        <v>121.5972</v>
      </c>
      <c r="I72" s="425">
        <v>5.3133600000000003</v>
      </c>
      <c r="J72" s="425">
        <v>16.149999999999999</v>
      </c>
      <c r="K72" s="425">
        <v>1306.2928199999999</v>
      </c>
      <c r="L72" s="542" t="s">
        <v>1025</v>
      </c>
      <c r="M72" s="423" t="s">
        <v>703</v>
      </c>
      <c r="N72" s="206">
        <v>99.0792</v>
      </c>
      <c r="O72" s="546"/>
      <c r="R72" s="206"/>
    </row>
    <row r="73" spans="1:18" ht="15">
      <c r="A73" s="424">
        <v>98049</v>
      </c>
      <c r="B73" t="str">
        <f t="shared" si="3"/>
        <v>SEVROLL First horné/spodné vedenie 1,2m oliv</v>
      </c>
      <c r="C73" s="209">
        <f t="shared" si="4"/>
        <v>5.3993000000000002</v>
      </c>
      <c r="D73" s="542" t="s">
        <v>3764</v>
      </c>
      <c r="E73" s="542" t="s">
        <v>835</v>
      </c>
      <c r="F73" s="542" t="s">
        <v>3765</v>
      </c>
      <c r="G73" s="542" t="s">
        <v>1822</v>
      </c>
      <c r="H73" s="426">
        <v>145.18271999999999</v>
      </c>
      <c r="I73" s="425">
        <v>5.3993000000000002</v>
      </c>
      <c r="J73" s="425">
        <v>22.26</v>
      </c>
      <c r="K73" s="425">
        <v>1644.9613300000001</v>
      </c>
      <c r="L73" s="542" t="s">
        <v>622</v>
      </c>
      <c r="M73" s="423" t="s">
        <v>699</v>
      </c>
      <c r="N73" s="206">
        <v>99.301599999999993</v>
      </c>
      <c r="O73" s="546"/>
      <c r="R73" s="206"/>
    </row>
    <row r="74" spans="1:18" ht="15">
      <c r="A74" s="424">
        <v>98032</v>
      </c>
      <c r="B74" t="str">
        <f t="shared" si="3"/>
        <v>SEVROLL First horné/spodné vedenie 1,2m str.</v>
      </c>
      <c r="C74" s="209">
        <f t="shared" si="4"/>
        <v>5.3993000000000002</v>
      </c>
      <c r="D74" s="542" t="s">
        <v>3762</v>
      </c>
      <c r="E74" s="542" t="s">
        <v>1823</v>
      </c>
      <c r="F74" s="542" t="s">
        <v>3763</v>
      </c>
      <c r="G74" s="542" t="s">
        <v>1824</v>
      </c>
      <c r="H74" s="426">
        <v>145.18271999999999</v>
      </c>
      <c r="I74" s="425">
        <v>5.3993000000000002</v>
      </c>
      <c r="J74" s="425">
        <v>20.260000000000002</v>
      </c>
      <c r="K74" s="425">
        <v>1644.9613300000001</v>
      </c>
      <c r="L74" s="542" t="s">
        <v>622</v>
      </c>
      <c r="M74" s="423" t="s">
        <v>699</v>
      </c>
      <c r="N74" s="206">
        <v>99.301599999999993</v>
      </c>
      <c r="O74" s="546"/>
      <c r="R74" s="206"/>
    </row>
    <row r="75" spans="1:18" ht="15">
      <c r="A75" s="424">
        <v>343616</v>
      </c>
      <c r="B75" t="str">
        <f t="shared" si="3"/>
        <v/>
      </c>
      <c r="C75" s="209">
        <f t="shared" si="4"/>
        <v>4.8690100000000003</v>
      </c>
      <c r="D75" s="542" t="s">
        <v>3867</v>
      </c>
      <c r="E75" s="542" t="s">
        <v>1663</v>
      </c>
      <c r="F75" s="542" t="s">
        <v>84</v>
      </c>
      <c r="G75" s="542" t="s">
        <v>84</v>
      </c>
      <c r="H75" s="426">
        <v>145.89439999999999</v>
      </c>
      <c r="I75" s="425">
        <v>4.8690100000000003</v>
      </c>
      <c r="J75" s="425">
        <v>17.239999999999998</v>
      </c>
      <c r="K75" s="425">
        <v>1653.02487</v>
      </c>
      <c r="L75" s="542" t="s">
        <v>622</v>
      </c>
      <c r="M75" s="423" t="s">
        <v>699</v>
      </c>
      <c r="N75" s="206">
        <v>99.954899999999995</v>
      </c>
      <c r="O75" s="546"/>
      <c r="R75" s="206"/>
    </row>
    <row r="76" spans="1:18" ht="15">
      <c r="A76" s="424">
        <v>362316</v>
      </c>
      <c r="B76" t="str">
        <f t="shared" si="3"/>
        <v>SEV-2x spodný vozík DTD 18mm, bez pozicionéru, bez pružiny</v>
      </c>
      <c r="C76" s="209">
        <f t="shared" si="4"/>
        <v>4.5556599999999996</v>
      </c>
      <c r="D76" s="542" t="s">
        <v>4082</v>
      </c>
      <c r="E76" s="542" t="s">
        <v>4083</v>
      </c>
      <c r="F76" s="542" t="s">
        <v>3008</v>
      </c>
      <c r="G76" s="542" t="s">
        <v>3007</v>
      </c>
      <c r="H76" s="426">
        <v>122.40895999999999</v>
      </c>
      <c r="I76" s="425">
        <v>4.5556599999999996</v>
      </c>
      <c r="J76" s="425">
        <v>17.9025</v>
      </c>
      <c r="K76" s="425">
        <v>1386.9281800000001</v>
      </c>
      <c r="L76" s="542" t="s">
        <v>1025</v>
      </c>
      <c r="M76" s="423" t="s">
        <v>700</v>
      </c>
      <c r="N76" s="206">
        <v>101.9148</v>
      </c>
      <c r="O76" s="546"/>
      <c r="R76" s="206"/>
    </row>
    <row r="77" spans="1:18" ht="15">
      <c r="A77" s="424">
        <v>179789</v>
      </c>
      <c r="B77" t="str">
        <f t="shared" si="3"/>
        <v>SEVROLL-U prof.na DTD 10mm - 3m, STR.</v>
      </c>
      <c r="C77" s="209">
        <f t="shared" si="4"/>
        <v>5.2064599999999999</v>
      </c>
      <c r="D77" s="542" t="s">
        <v>3369</v>
      </c>
      <c r="E77" s="542" t="s">
        <v>716</v>
      </c>
      <c r="F77" s="542" t="s">
        <v>717</v>
      </c>
      <c r="G77" s="542" t="s">
        <v>2344</v>
      </c>
      <c r="H77" s="426">
        <v>150.16448</v>
      </c>
      <c r="I77" s="425">
        <v>5.2064599999999999</v>
      </c>
      <c r="J77" s="425">
        <v>17.75</v>
      </c>
      <c r="K77" s="425">
        <v>1701.40608</v>
      </c>
      <c r="L77" s="542" t="s">
        <v>622</v>
      </c>
      <c r="M77" s="423" t="s">
        <v>699</v>
      </c>
      <c r="N77" s="206">
        <v>103.2214</v>
      </c>
      <c r="O77" s="546"/>
      <c r="R77" s="206"/>
    </row>
    <row r="78" spans="1:18" ht="15">
      <c r="A78" s="424">
        <v>318659</v>
      </c>
      <c r="B78" t="str">
        <f t="shared" si="3"/>
        <v>SEVROLL maska ??Elegant II 2,35m biela lesk</v>
      </c>
      <c r="C78" s="209">
        <f t="shared" si="4"/>
        <v>5.2305700000000002</v>
      </c>
      <c r="D78" s="542" t="s">
        <v>4431</v>
      </c>
      <c r="E78" s="542" t="s">
        <v>2112</v>
      </c>
      <c r="F78" s="542" t="s">
        <v>4432</v>
      </c>
      <c r="G78" s="542" t="s">
        <v>2113</v>
      </c>
      <c r="H78" s="426">
        <v>145.18271999999999</v>
      </c>
      <c r="I78" s="425">
        <v>5.2305700000000002</v>
      </c>
      <c r="J78" s="425">
        <v>17.3</v>
      </c>
      <c r="K78" s="425">
        <v>1644.9613300000001</v>
      </c>
      <c r="L78" s="542" t="s">
        <v>621</v>
      </c>
      <c r="M78" s="423" t="s">
        <v>699</v>
      </c>
      <c r="N78" s="206">
        <v>104.52800000000001</v>
      </c>
      <c r="O78" s="546"/>
      <c r="R78" s="206"/>
    </row>
    <row r="79" spans="1:18" ht="15">
      <c r="A79" s="424">
        <v>89054</v>
      </c>
      <c r="B79" t="str">
        <f t="shared" si="3"/>
        <v>SEVROLL uholník K2 Decor 2,35m zlatá</v>
      </c>
      <c r="C79" s="209">
        <f t="shared" si="4"/>
        <v>5.5686</v>
      </c>
      <c r="D79" s="542" t="s">
        <v>3192</v>
      </c>
      <c r="E79" s="542" t="s">
        <v>2632</v>
      </c>
      <c r="F79" s="542" t="s">
        <v>3193</v>
      </c>
      <c r="G79" s="542" t="s">
        <v>2633</v>
      </c>
      <c r="H79" s="426">
        <v>159.38</v>
      </c>
      <c r="I79" s="425">
        <v>5.5686</v>
      </c>
      <c r="J79" s="425">
        <v>19.915479999999999</v>
      </c>
      <c r="K79" s="425">
        <v>1778.0386699999999</v>
      </c>
      <c r="L79" s="542" t="s">
        <v>623</v>
      </c>
      <c r="M79" s="423" t="s">
        <v>699</v>
      </c>
      <c r="N79" s="206">
        <v>104.52800000000001</v>
      </c>
      <c r="O79" s="546"/>
      <c r="R79" s="206"/>
    </row>
    <row r="80" spans="1:18" ht="15">
      <c r="A80" s="429">
        <v>308670</v>
      </c>
      <c r="B80" t="str">
        <f t="shared" si="3"/>
        <v>SEVROLL dolné vedenie Hide M 1,7m str.</v>
      </c>
      <c r="C80" s="209">
        <f t="shared" si="4"/>
        <v>5.4716100000000001</v>
      </c>
      <c r="D80" s="542" t="s">
        <v>3616</v>
      </c>
      <c r="E80" s="542" t="s">
        <v>2753</v>
      </c>
      <c r="F80" s="542" t="s">
        <v>3617</v>
      </c>
      <c r="G80" s="542" t="s">
        <v>2815</v>
      </c>
      <c r="H80" s="426">
        <v>158.51004</v>
      </c>
      <c r="I80" s="425">
        <v>5.4716100000000001</v>
      </c>
      <c r="J80" s="425">
        <v>18.25</v>
      </c>
      <c r="K80" s="425">
        <v>1782.04144</v>
      </c>
      <c r="L80" s="542" t="s">
        <v>622</v>
      </c>
      <c r="M80" s="430" t="s">
        <v>699</v>
      </c>
      <c r="N80" s="206">
        <v>104.75596</v>
      </c>
      <c r="O80" s="546"/>
      <c r="R80" s="206"/>
    </row>
    <row r="81" spans="1:18" ht="15">
      <c r="A81" s="429">
        <v>230887</v>
      </c>
      <c r="B81" t="str">
        <f t="shared" si="3"/>
        <v>SEVROLL dočná krytka kryc.prof.Herkules Glas</v>
      </c>
      <c r="C81" s="209">
        <f t="shared" si="4"/>
        <v>5.83317</v>
      </c>
      <c r="D81" s="542" t="s">
        <v>3896</v>
      </c>
      <c r="E81" s="542" t="s">
        <v>1325</v>
      </c>
      <c r="F81" s="542" t="s">
        <v>3897</v>
      </c>
      <c r="G81" s="542" t="s">
        <v>2851</v>
      </c>
      <c r="H81" s="426">
        <v>158.51004</v>
      </c>
      <c r="I81" s="425">
        <v>5.83317</v>
      </c>
      <c r="J81" s="425">
        <v>18.25</v>
      </c>
      <c r="K81" s="425">
        <v>1782.04144</v>
      </c>
      <c r="L81" s="542" t="s">
        <v>622</v>
      </c>
      <c r="M81" s="430" t="s">
        <v>703</v>
      </c>
      <c r="N81" s="206">
        <v>104.75596</v>
      </c>
      <c r="O81" s="546"/>
      <c r="R81" s="206"/>
    </row>
    <row r="82" spans="1:18" ht="15">
      <c r="A82" s="424">
        <v>191013</v>
      </c>
      <c r="B82" t="str">
        <f t="shared" si="3"/>
        <v>SEVROLL-MICRA- HOR/DOL OLIVA 2,35M</v>
      </c>
      <c r="C82" s="209">
        <f t="shared" si="4"/>
        <v>5.54392</v>
      </c>
      <c r="D82" s="542" t="s">
        <v>3445</v>
      </c>
      <c r="E82" s="542" t="s">
        <v>2246</v>
      </c>
      <c r="F82" s="542" t="s">
        <v>794</v>
      </c>
      <c r="G82" s="542" t="s">
        <v>2247</v>
      </c>
      <c r="H82" s="426">
        <v>153.0112</v>
      </c>
      <c r="I82" s="425">
        <v>5.54392</v>
      </c>
      <c r="J82" s="425">
        <v>18.079999999999998</v>
      </c>
      <c r="K82" s="425">
        <v>1733.66023</v>
      </c>
      <c r="L82" s="542" t="s">
        <v>622</v>
      </c>
      <c r="M82" s="423" t="s">
        <v>699</v>
      </c>
      <c r="N82" s="206">
        <v>105.18129999999999</v>
      </c>
      <c r="O82" s="546"/>
      <c r="R82" s="206"/>
    </row>
    <row r="83" spans="1:18" ht="15">
      <c r="A83" s="424">
        <v>349858</v>
      </c>
      <c r="B83" t="str">
        <f t="shared" si="3"/>
        <v/>
      </c>
      <c r="C83" s="209">
        <f t="shared" si="4"/>
        <v>6.51227</v>
      </c>
      <c r="D83" s="542" t="s">
        <v>3915</v>
      </c>
      <c r="E83" s="542" t="s">
        <v>1597</v>
      </c>
      <c r="F83" s="542" t="s">
        <v>84</v>
      </c>
      <c r="G83" s="542" t="s">
        <v>84</v>
      </c>
      <c r="H83" s="426">
        <v>147.8682</v>
      </c>
      <c r="I83" s="425">
        <v>6.51227</v>
      </c>
      <c r="J83" s="425">
        <v>22.72</v>
      </c>
      <c r="K83" s="425">
        <v>1588.51657</v>
      </c>
      <c r="L83" s="542" t="s">
        <v>622</v>
      </c>
      <c r="M83" s="423" t="s">
        <v>699</v>
      </c>
      <c r="N83" s="206">
        <v>105.83459999999999</v>
      </c>
      <c r="O83" s="546"/>
      <c r="R83" s="206"/>
    </row>
    <row r="84" spans="1:18" ht="15">
      <c r="A84" s="424">
        <v>210529</v>
      </c>
      <c r="B84" t="str">
        <f t="shared" si="3"/>
        <v>SEV-Focus 18mm úchytová lišta 2,305m str</v>
      </c>
      <c r="C84" s="209" t="e">
        <f t="shared" si="4"/>
        <v>#N/A</v>
      </c>
      <c r="D84" s="542" t="s">
        <v>1835</v>
      </c>
      <c r="E84" s="542" t="s">
        <v>1836</v>
      </c>
      <c r="F84" s="542" t="s">
        <v>1838</v>
      </c>
      <c r="G84" s="542" t="s">
        <v>1837</v>
      </c>
      <c r="H84" s="426">
        <v>0</v>
      </c>
      <c r="I84" s="425" t="e">
        <v>#N/A</v>
      </c>
      <c r="J84" s="425">
        <v>19.227789999999999</v>
      </c>
      <c r="K84" s="425">
        <v>0</v>
      </c>
      <c r="L84" s="542" t="s">
        <v>622</v>
      </c>
      <c r="M84" s="423" t="s">
        <v>699</v>
      </c>
      <c r="N84" s="206">
        <v>106.4879</v>
      </c>
      <c r="O84" s="546"/>
      <c r="R84" s="206"/>
    </row>
    <row r="85" spans="1:18" ht="15">
      <c r="A85" s="424">
        <v>84195</v>
      </c>
      <c r="B85" t="str">
        <f t="shared" si="3"/>
        <v>SEVROLL-SMART SPODNÉ VEDENIE 2,35M STRIE</v>
      </c>
      <c r="C85" s="209">
        <f t="shared" si="4"/>
        <v>5.4957099999999999</v>
      </c>
      <c r="D85" s="542" t="s">
        <v>4280</v>
      </c>
      <c r="E85" s="542" t="s">
        <v>892</v>
      </c>
      <c r="F85" s="542" t="s">
        <v>108</v>
      </c>
      <c r="G85" s="542" t="s">
        <v>2427</v>
      </c>
      <c r="H85" s="426">
        <v>147.31775999999999</v>
      </c>
      <c r="I85" s="425">
        <v>5.4957099999999999</v>
      </c>
      <c r="J85" s="425">
        <v>20.149999999999999</v>
      </c>
      <c r="K85" s="425">
        <v>1669.15193</v>
      </c>
      <c r="L85" s="542" t="s">
        <v>621</v>
      </c>
      <c r="M85" s="423" t="s">
        <v>699</v>
      </c>
      <c r="N85" s="206">
        <v>106.4879</v>
      </c>
      <c r="O85" s="546"/>
      <c r="R85" s="206"/>
    </row>
    <row r="86" spans="1:18" ht="15">
      <c r="A86" s="424">
        <v>163122</v>
      </c>
      <c r="B86" t="str">
        <f t="shared" si="3"/>
        <v>SEVROLL-MASKA DOUBLER II 1,7 M strieborn</v>
      </c>
      <c r="C86" s="209">
        <f t="shared" si="4"/>
        <v>5.2064599999999999</v>
      </c>
      <c r="D86" s="542" t="s">
        <v>3857</v>
      </c>
      <c r="E86" s="542" t="s">
        <v>1082</v>
      </c>
      <c r="F86" s="542" t="s">
        <v>711</v>
      </c>
      <c r="G86" s="542" t="s">
        <v>1683</v>
      </c>
      <c r="H86" s="426">
        <v>149.4528</v>
      </c>
      <c r="I86" s="425">
        <v>5.2064599999999999</v>
      </c>
      <c r="J86" s="425">
        <v>17.66</v>
      </c>
      <c r="K86" s="425">
        <v>1693.3425400000001</v>
      </c>
      <c r="L86" s="542" t="s">
        <v>622</v>
      </c>
      <c r="M86" s="423" t="s">
        <v>699</v>
      </c>
      <c r="N86" s="206">
        <v>107.7945</v>
      </c>
      <c r="O86" s="546"/>
      <c r="R86" s="206"/>
    </row>
    <row r="87" spans="1:18" ht="15">
      <c r="A87" s="424">
        <v>89139</v>
      </c>
      <c r="B87" t="str">
        <f t="shared" si="3"/>
        <v>SEVROLL-184 UHOLNÍK 17*11 OLIVOVÁ 3M</v>
      </c>
      <c r="C87" s="209">
        <f t="shared" si="4"/>
        <v>5.6885399999999997</v>
      </c>
      <c r="D87" s="542" t="s">
        <v>4145</v>
      </c>
      <c r="E87" s="542" t="s">
        <v>846</v>
      </c>
      <c r="F87" s="542" t="s">
        <v>98</v>
      </c>
      <c r="G87" s="542" t="s">
        <v>2596</v>
      </c>
      <c r="H87" s="426">
        <v>150.16448</v>
      </c>
      <c r="I87" s="425">
        <v>5.6885399999999997</v>
      </c>
      <c r="J87" s="425">
        <v>18.63</v>
      </c>
      <c r="K87" s="425">
        <v>1701.40608</v>
      </c>
      <c r="L87" s="542" t="s">
        <v>621</v>
      </c>
      <c r="M87" s="423" t="s">
        <v>699</v>
      </c>
      <c r="N87" s="206">
        <v>108.4478</v>
      </c>
      <c r="O87" s="546"/>
      <c r="R87" s="206"/>
    </row>
    <row r="88" spans="1:18" ht="15">
      <c r="A88" s="424">
        <v>89138</v>
      </c>
      <c r="B88" t="str">
        <f t="shared" si="3"/>
        <v>SEVROLL-184 UHOLNÍK 17*11 ZLATÁ 3M</v>
      </c>
      <c r="C88" s="209">
        <f t="shared" si="4"/>
        <v>5.6885399999999997</v>
      </c>
      <c r="D88" s="542" t="s">
        <v>3214</v>
      </c>
      <c r="E88" s="542" t="s">
        <v>845</v>
      </c>
      <c r="F88" s="542" t="s">
        <v>97</v>
      </c>
      <c r="G88" s="542" t="s">
        <v>2598</v>
      </c>
      <c r="H88" s="426">
        <v>150.16448</v>
      </c>
      <c r="I88" s="425">
        <v>5.6885399999999997</v>
      </c>
      <c r="J88" s="425">
        <v>18.63</v>
      </c>
      <c r="K88" s="425">
        <v>1701.40608</v>
      </c>
      <c r="L88" s="542" t="s">
        <v>622</v>
      </c>
      <c r="M88" s="423" t="s">
        <v>699</v>
      </c>
      <c r="N88" s="206">
        <v>108.4478</v>
      </c>
      <c r="O88" s="546"/>
      <c r="R88" s="206"/>
    </row>
    <row r="89" spans="1:18" ht="15">
      <c r="A89" s="424">
        <v>89055</v>
      </c>
      <c r="B89" t="str">
        <f t="shared" si="3"/>
        <v>SEVROLL uholník K2 Decor 2,35m oliva</v>
      </c>
      <c r="C89" s="209">
        <f t="shared" si="4"/>
        <v>5.6403400000000001</v>
      </c>
      <c r="D89" s="542" t="s">
        <v>4132</v>
      </c>
      <c r="E89" s="542" t="s">
        <v>866</v>
      </c>
      <c r="F89" s="542" t="s">
        <v>4133</v>
      </c>
      <c r="G89" s="542" t="s">
        <v>2628</v>
      </c>
      <c r="H89" s="426">
        <v>151.58784</v>
      </c>
      <c r="I89" s="425">
        <v>5.6403400000000001</v>
      </c>
      <c r="J89" s="425">
        <v>19.64</v>
      </c>
      <c r="K89" s="425">
        <v>1717.53315</v>
      </c>
      <c r="L89" s="542" t="s">
        <v>621</v>
      </c>
      <c r="M89" s="423" t="s">
        <v>699</v>
      </c>
      <c r="N89" s="206">
        <v>109.7544</v>
      </c>
      <c r="O89" s="546"/>
      <c r="R89" s="206"/>
    </row>
    <row r="90" spans="1:18" ht="15">
      <c r="A90" s="424">
        <v>89053</v>
      </c>
      <c r="B90" t="str">
        <f t="shared" si="3"/>
        <v>SEVROLL uholník K2 Decor 2,35m strieborná</v>
      </c>
      <c r="C90" s="209">
        <f t="shared" si="4"/>
        <v>5.25467</v>
      </c>
      <c r="D90" s="542" t="s">
        <v>4128</v>
      </c>
      <c r="E90" s="542" t="s">
        <v>865</v>
      </c>
      <c r="F90" s="542" t="s">
        <v>4129</v>
      </c>
      <c r="G90" s="542" t="s">
        <v>2631</v>
      </c>
      <c r="H90" s="426">
        <v>151.58784</v>
      </c>
      <c r="I90" s="425">
        <v>5.25467</v>
      </c>
      <c r="J90" s="425">
        <v>17.91</v>
      </c>
      <c r="K90" s="425">
        <v>1717.53315</v>
      </c>
      <c r="L90" s="542" t="s">
        <v>621</v>
      </c>
      <c r="M90" s="423" t="s">
        <v>699</v>
      </c>
      <c r="N90" s="206">
        <v>109.7544</v>
      </c>
      <c r="O90" s="546"/>
      <c r="R90" s="206"/>
    </row>
    <row r="91" spans="1:18" ht="15">
      <c r="A91" s="424">
        <v>180415</v>
      </c>
      <c r="B91" t="str">
        <f t="shared" si="3"/>
        <v>SEVROLL-MAXIM II MASKA 1,8 M strieborná</v>
      </c>
      <c r="C91" s="209">
        <f t="shared" si="4"/>
        <v>5.59213</v>
      </c>
      <c r="D91" s="542" t="s">
        <v>3490</v>
      </c>
      <c r="E91" s="542" t="s">
        <v>911</v>
      </c>
      <c r="F91" s="542" t="s">
        <v>3491</v>
      </c>
      <c r="G91" s="542" t="s">
        <v>2171</v>
      </c>
      <c r="H91" s="426">
        <v>160.83967999999999</v>
      </c>
      <c r="I91" s="425">
        <v>5.59213</v>
      </c>
      <c r="J91" s="425">
        <v>19.010000000000002</v>
      </c>
      <c r="K91" s="425">
        <v>1822.3591300000001</v>
      </c>
      <c r="L91" s="542" t="s">
        <v>622</v>
      </c>
      <c r="M91" s="423" t="s">
        <v>699</v>
      </c>
      <c r="N91" s="206">
        <v>110.40770000000001</v>
      </c>
      <c r="O91" s="546"/>
      <c r="R91" s="206"/>
    </row>
    <row r="92" spans="1:18" ht="15">
      <c r="A92" s="424">
        <v>89151</v>
      </c>
      <c r="B92" t="str">
        <f t="shared" si="3"/>
        <v>SEVROLL Micra hor/spod.vedenie 2,35m str.elo</v>
      </c>
      <c r="C92" s="209">
        <f t="shared" si="4"/>
        <v>5.54392</v>
      </c>
      <c r="D92" s="542" t="s">
        <v>4351</v>
      </c>
      <c r="E92" s="542" t="s">
        <v>2248</v>
      </c>
      <c r="F92" s="542" t="s">
        <v>4352</v>
      </c>
      <c r="G92" s="542" t="s">
        <v>2249</v>
      </c>
      <c r="H92" s="426">
        <v>153.0112</v>
      </c>
      <c r="I92" s="425">
        <v>5.54392</v>
      </c>
      <c r="J92" s="425">
        <v>18.079999999999998</v>
      </c>
      <c r="K92" s="425">
        <v>1733.66023</v>
      </c>
      <c r="L92" s="542" t="s">
        <v>621</v>
      </c>
      <c r="M92" s="423" t="s">
        <v>699</v>
      </c>
      <c r="N92" s="206">
        <v>110.40770000000001</v>
      </c>
      <c r="O92" s="546"/>
      <c r="R92" s="206"/>
    </row>
    <row r="93" spans="1:18" ht="15">
      <c r="A93" s="424">
        <v>213167</v>
      </c>
      <c r="B93" t="str">
        <f t="shared" si="3"/>
        <v>SEVROLL obojstranná lepiaca páska 50mm 10</v>
      </c>
      <c r="C93" s="209">
        <f t="shared" si="4"/>
        <v>5.1823600000000001</v>
      </c>
      <c r="D93" s="542" t="s">
        <v>3438</v>
      </c>
      <c r="E93" s="542" t="s">
        <v>931</v>
      </c>
      <c r="F93" s="542" t="s">
        <v>3439</v>
      </c>
      <c r="G93" s="542" t="s">
        <v>2261</v>
      </c>
      <c r="H93" s="426">
        <v>149.4528</v>
      </c>
      <c r="I93" s="425">
        <v>5.1823600000000001</v>
      </c>
      <c r="J93" s="425">
        <v>17.66</v>
      </c>
      <c r="K93" s="425">
        <v>1693.3425400000001</v>
      </c>
      <c r="L93" s="542" t="s">
        <v>622</v>
      </c>
      <c r="M93" s="423" t="s">
        <v>699</v>
      </c>
      <c r="N93" s="206">
        <v>111.06100000000001</v>
      </c>
      <c r="O93" s="546"/>
      <c r="R93" s="206"/>
    </row>
    <row r="94" spans="1:18" ht="15">
      <c r="A94" s="424">
        <v>163129</v>
      </c>
      <c r="B94" t="str">
        <f t="shared" si="3"/>
        <v>SEVROLL-MASKA DOUBLER II 1,7 M OLIVA</v>
      </c>
      <c r="C94" s="209">
        <f t="shared" si="4"/>
        <v>5.6885399999999997</v>
      </c>
      <c r="D94" s="542" t="s">
        <v>3858</v>
      </c>
      <c r="E94" s="542" t="s">
        <v>1681</v>
      </c>
      <c r="F94" s="542" t="s">
        <v>679</v>
      </c>
      <c r="G94" s="542" t="s">
        <v>1682</v>
      </c>
      <c r="H94" s="426">
        <v>163.68639999999999</v>
      </c>
      <c r="I94" s="425">
        <v>5.6885399999999997</v>
      </c>
      <c r="J94" s="425">
        <v>19.34</v>
      </c>
      <c r="K94" s="425">
        <v>1854.6132600000001</v>
      </c>
      <c r="L94" s="542" t="s">
        <v>622</v>
      </c>
      <c r="M94" s="423" t="s">
        <v>699</v>
      </c>
      <c r="N94" s="206">
        <v>112.3676</v>
      </c>
      <c r="O94" s="546"/>
      <c r="R94" s="206"/>
    </row>
    <row r="95" spans="1:18" ht="15">
      <c r="A95" s="424">
        <v>224016</v>
      </c>
      <c r="B95" t="str">
        <f t="shared" si="3"/>
        <v>SEVROLL Simple spodné vedenie 1,5m strieborn</v>
      </c>
      <c r="C95" s="209">
        <f t="shared" si="4"/>
        <v>6.7944199999999997</v>
      </c>
      <c r="D95" s="542" t="s">
        <v>3051</v>
      </c>
      <c r="E95" s="542" t="s">
        <v>2391</v>
      </c>
      <c r="F95" s="542" t="s">
        <v>3052</v>
      </c>
      <c r="G95" s="542" t="s">
        <v>2392</v>
      </c>
      <c r="H95" s="426">
        <v>155.3742</v>
      </c>
      <c r="I95" s="425">
        <v>6.7944199999999997</v>
      </c>
      <c r="J95" s="425">
        <v>18.75</v>
      </c>
      <c r="K95" s="425">
        <v>1669.15193</v>
      </c>
      <c r="L95" s="542" t="s">
        <v>623</v>
      </c>
      <c r="M95" s="423" t="s">
        <v>699</v>
      </c>
      <c r="N95" s="206">
        <v>114.0912</v>
      </c>
      <c r="O95" s="546"/>
      <c r="R95" s="206"/>
    </row>
    <row r="96" spans="1:18" ht="15">
      <c r="A96" s="424">
        <v>228198</v>
      </c>
      <c r="B96" t="str">
        <f t="shared" si="3"/>
        <v>SEVROLL profil "U" DTD 16mm 3m str</v>
      </c>
      <c r="C96" s="209">
        <f t="shared" si="4"/>
        <v>6.0742099999999999</v>
      </c>
      <c r="D96" s="542" t="s">
        <v>3367</v>
      </c>
      <c r="E96" s="542" t="s">
        <v>1145</v>
      </c>
      <c r="F96" s="542" t="s">
        <v>3368</v>
      </c>
      <c r="G96" s="542" t="s">
        <v>2326</v>
      </c>
      <c r="H96" s="426">
        <v>175.07328000000001</v>
      </c>
      <c r="I96" s="425">
        <v>6.0742099999999999</v>
      </c>
      <c r="J96" s="425">
        <v>21.3</v>
      </c>
      <c r="K96" s="425">
        <v>1983.6298400000001</v>
      </c>
      <c r="L96" s="542" t="s">
        <v>622</v>
      </c>
      <c r="M96" s="423" t="s">
        <v>699</v>
      </c>
      <c r="N96" s="206">
        <v>114.9808</v>
      </c>
      <c r="O96" s="546"/>
      <c r="R96" s="206"/>
    </row>
    <row r="97" spans="1:18" ht="15">
      <c r="A97" s="424">
        <v>276731</v>
      </c>
      <c r="B97" t="str">
        <f t="shared" si="3"/>
        <v>SEVROLL uholník 17x11mm 3m RAL9003 mat</v>
      </c>
      <c r="C97" s="209">
        <f t="shared" si="4"/>
        <v>6.4839799999999999</v>
      </c>
      <c r="D97" s="542" t="s">
        <v>3215</v>
      </c>
      <c r="E97" s="542" t="s">
        <v>2603</v>
      </c>
      <c r="F97" s="542" t="s">
        <v>3216</v>
      </c>
      <c r="G97" s="542" t="s">
        <v>2604</v>
      </c>
      <c r="H97" s="426">
        <v>170.8032</v>
      </c>
      <c r="I97" s="425">
        <v>6.4839799999999999</v>
      </c>
      <c r="J97" s="425">
        <v>22.13</v>
      </c>
      <c r="K97" s="425">
        <v>1935.2486200000001</v>
      </c>
      <c r="L97" s="542" t="s">
        <v>621</v>
      </c>
      <c r="M97" s="423" t="s">
        <v>699</v>
      </c>
      <c r="N97" s="206">
        <v>117.59399999999999</v>
      </c>
      <c r="O97" s="546"/>
      <c r="R97" s="206"/>
    </row>
    <row r="98" spans="1:18" ht="15">
      <c r="A98" s="424">
        <v>345405</v>
      </c>
      <c r="B98" t="str">
        <f>IF($A$2=1,D98,IF($A$2=2,F98,IF($A$2=3,G91,IF($A$2=4,E98,"zadat jazyk"))))</f>
        <v/>
      </c>
      <c r="C98" s="209">
        <f t="shared" si="4"/>
        <v>6.2429399999999999</v>
      </c>
      <c r="D98" s="542" t="s">
        <v>3523</v>
      </c>
      <c r="E98" s="542" t="s">
        <v>2117</v>
      </c>
      <c r="F98" s="542" t="s">
        <v>84</v>
      </c>
      <c r="G98" s="542" t="s">
        <v>3524</v>
      </c>
      <c r="H98" s="426">
        <v>172.93824000000001</v>
      </c>
      <c r="I98" s="425">
        <v>6.2429399999999999</v>
      </c>
      <c r="J98" s="425">
        <v>21.74</v>
      </c>
      <c r="K98" s="425">
        <v>1959.43923</v>
      </c>
      <c r="L98" s="542" t="s">
        <v>622</v>
      </c>
      <c r="M98" s="423" t="s">
        <v>699</v>
      </c>
      <c r="N98" s="206">
        <v>118.9006</v>
      </c>
      <c r="O98" s="546"/>
      <c r="R98" s="206"/>
    </row>
    <row r="99" spans="1:18" ht="15">
      <c r="A99" s="424">
        <v>229440</v>
      </c>
      <c r="B99" t="str">
        <f>IF($A$2=1,D99,IF($A$2=2,F99,IF($A$2=3,G99,IF($A$2=4,E99,"zadat jazyk"))))</f>
        <v>SEVROLL spodný vozík WD 18C HI-TEC - 2ks</v>
      </c>
      <c r="C99" s="209">
        <f t="shared" si="4"/>
        <v>5.30288</v>
      </c>
      <c r="D99" s="542" t="s">
        <v>4223</v>
      </c>
      <c r="E99" s="542" t="s">
        <v>1132</v>
      </c>
      <c r="F99" s="542" t="s">
        <v>4224</v>
      </c>
      <c r="G99" s="542" t="s">
        <v>1399</v>
      </c>
      <c r="H99" s="426">
        <v>156.56960000000001</v>
      </c>
      <c r="I99" s="425">
        <v>5.30288</v>
      </c>
      <c r="J99" s="425">
        <v>18.5</v>
      </c>
      <c r="K99" s="425">
        <v>1773.9779000000001</v>
      </c>
      <c r="L99" s="542" t="s">
        <v>621</v>
      </c>
      <c r="M99" s="423" t="s">
        <v>700</v>
      </c>
      <c r="N99" s="206">
        <v>118.9006</v>
      </c>
      <c r="O99" s="546"/>
      <c r="R99" s="206"/>
    </row>
    <row r="100" spans="1:18" ht="15">
      <c r="A100" s="424">
        <v>89268</v>
      </c>
      <c r="B100" t="str">
        <f>IF($A$2=1,D100,IF($A$2=2,F100,IF($A$2=3,G100,IF($A$2=4,E100,"zadat jazyk"))))</f>
        <v>SEVROLL-161 U PROFna DTD 18mm-3m, OLIVA</v>
      </c>
      <c r="C100" s="209">
        <f t="shared" si="4"/>
        <v>5.7367499999999998</v>
      </c>
      <c r="D100" s="542" t="s">
        <v>4307</v>
      </c>
      <c r="E100" s="542" t="s">
        <v>272</v>
      </c>
      <c r="F100" s="542" t="s">
        <v>106</v>
      </c>
      <c r="G100" s="542" t="s">
        <v>2346</v>
      </c>
      <c r="H100" s="426">
        <v>165.10975999999999</v>
      </c>
      <c r="I100" s="425">
        <v>5.7367499999999998</v>
      </c>
      <c r="J100" s="425">
        <v>19.510000000000002</v>
      </c>
      <c r="K100" s="425">
        <v>1870.7403300000001</v>
      </c>
      <c r="L100" s="542" t="s">
        <v>621</v>
      </c>
      <c r="M100" s="423" t="s">
        <v>699</v>
      </c>
      <c r="N100" s="206">
        <v>119.5539</v>
      </c>
      <c r="O100" s="546"/>
      <c r="R100" s="206"/>
    </row>
    <row r="101" spans="1:18" ht="15">
      <c r="A101" s="424">
        <v>89267</v>
      </c>
      <c r="B101" t="str">
        <f>IF($A$2=1,D101,IF($A$2=2,F101,IF($A$2=3,G101,IF($A$2=4,E101,"zadat jazyk"))))</f>
        <v>SEVROLL-161 U PROFna DTD 18mm-3m, zlatá</v>
      </c>
      <c r="C101" s="209">
        <f t="shared" si="4"/>
        <v>5.7367499999999998</v>
      </c>
      <c r="D101" s="542" t="s">
        <v>3364</v>
      </c>
      <c r="E101" s="542" t="s">
        <v>2348</v>
      </c>
      <c r="F101" s="542" t="s">
        <v>89</v>
      </c>
      <c r="G101" s="542" t="s">
        <v>2349</v>
      </c>
      <c r="H101" s="426">
        <v>165.10975999999999</v>
      </c>
      <c r="I101" s="425">
        <v>5.7367499999999998</v>
      </c>
      <c r="J101" s="425">
        <v>19.510000000000002</v>
      </c>
      <c r="K101" s="425">
        <v>1870.7403300000001</v>
      </c>
      <c r="L101" s="542" t="s">
        <v>622</v>
      </c>
      <c r="M101" s="423" t="s">
        <v>699</v>
      </c>
      <c r="N101" s="206">
        <v>119.5539</v>
      </c>
      <c r="O101" s="546"/>
      <c r="R101" s="206"/>
    </row>
    <row r="102" spans="1:18" ht="15">
      <c r="A102" s="424">
        <v>89095</v>
      </c>
      <c r="B102" t="str">
        <f>IF($A$2=1,D102,IF($A$2=2,F102,IF($A$2=3,G102,IF($A$2=4,E102,"zadat jazyk"))))</f>
        <v>SEVROLL Focus 16mm úch.lišta 2,7m strieborná</v>
      </c>
      <c r="C102" s="209">
        <f t="shared" si="4"/>
        <v>7.4722400000000002</v>
      </c>
      <c r="D102" s="542" t="s">
        <v>3755</v>
      </c>
      <c r="E102" s="542" t="s">
        <v>858</v>
      </c>
      <c r="F102" s="542" t="s">
        <v>3756</v>
      </c>
      <c r="G102" s="542" t="s">
        <v>1834</v>
      </c>
      <c r="H102" s="426">
        <v>197.13535999999999</v>
      </c>
      <c r="I102" s="425">
        <v>7.4722400000000002</v>
      </c>
      <c r="J102" s="425">
        <v>23.3</v>
      </c>
      <c r="K102" s="425">
        <v>2233.5994599999999</v>
      </c>
      <c r="L102" s="542" t="s">
        <v>622</v>
      </c>
      <c r="M102" s="423" t="s">
        <v>699</v>
      </c>
      <c r="N102" s="206">
        <v>124.127</v>
      </c>
      <c r="O102" s="546"/>
      <c r="R102" s="206"/>
    </row>
    <row r="103" spans="1:18" ht="15">
      <c r="A103" s="424">
        <v>345407</v>
      </c>
      <c r="B103" t="str">
        <f>IF($A$2=1,D103,IF($A$2=2,F103,IF($A$2=3,G103,IF($A$2=4,E103,"zadat jazyk"))))</f>
        <v>SEVROLL maska Elegant II 2,35m čierna kartáčovaná</v>
      </c>
      <c r="C103" s="209">
        <f t="shared" si="4"/>
        <v>6.2429399999999999</v>
      </c>
      <c r="D103" s="542" t="s">
        <v>4428</v>
      </c>
      <c r="E103" s="542" t="s">
        <v>2114</v>
      </c>
      <c r="F103" s="542" t="s">
        <v>4430</v>
      </c>
      <c r="G103" s="542" t="s">
        <v>4429</v>
      </c>
      <c r="H103" s="426">
        <v>172.93824000000001</v>
      </c>
      <c r="I103" s="425">
        <v>6.2429399999999999</v>
      </c>
      <c r="J103" s="425">
        <v>21.74</v>
      </c>
      <c r="K103" s="425">
        <v>1959.43923</v>
      </c>
      <c r="L103" s="542" t="s">
        <v>621</v>
      </c>
      <c r="M103" s="423" t="s">
        <v>699</v>
      </c>
      <c r="N103" s="206">
        <v>124.7803</v>
      </c>
      <c r="O103" s="546"/>
      <c r="R103" s="206"/>
    </row>
    <row r="104" spans="1:18" ht="15">
      <c r="A104" s="424">
        <v>345404</v>
      </c>
      <c r="B104" t="str">
        <f>IF($A$2=1,D104,IF($A$2=2,F104,IF($A$2=3,G97,IF($A$2=4,E104,"zadat jazyk"))))</f>
        <v>SEVROLL maska Elegant II 2,35m oliva kartáčovaná</v>
      </c>
      <c r="C104" s="209">
        <f t="shared" si="4"/>
        <v>6.2429399999999999</v>
      </c>
      <c r="D104" s="542" t="s">
        <v>4424</v>
      </c>
      <c r="E104" s="542" t="s">
        <v>2116</v>
      </c>
      <c r="F104" s="542" t="s">
        <v>4424</v>
      </c>
      <c r="G104" s="542" t="s">
        <v>4425</v>
      </c>
      <c r="H104" s="426">
        <v>172.93824000000001</v>
      </c>
      <c r="I104" s="425">
        <v>6.2429399999999999</v>
      </c>
      <c r="J104" s="425">
        <v>21.74</v>
      </c>
      <c r="K104" s="425">
        <v>1959.43923</v>
      </c>
      <c r="L104" s="542" t="s">
        <v>621</v>
      </c>
      <c r="M104" s="423" t="s">
        <v>699</v>
      </c>
      <c r="N104" s="206">
        <v>124.7803</v>
      </c>
      <c r="O104" s="546"/>
      <c r="R104" s="206"/>
    </row>
    <row r="105" spans="1:18" ht="15">
      <c r="A105" s="424">
        <v>212613</v>
      </c>
      <c r="B105" t="str">
        <f t="shared" ref="B105:B168" si="5">IF($A$2=1,D105,IF($A$2=2,F105,IF($A$2=3,G105,IF($A$2=4,E105,"zadat jazyk"))))</f>
        <v>SEVROLL koncovka k lište Hide N strieborná</v>
      </c>
      <c r="C105" s="209">
        <f t="shared" si="4"/>
        <v>5.5198200000000002</v>
      </c>
      <c r="D105" s="542" t="s">
        <v>4441</v>
      </c>
      <c r="E105" s="542" t="s">
        <v>2063</v>
      </c>
      <c r="F105" s="542" t="s">
        <v>4442</v>
      </c>
      <c r="G105" s="542" t="s">
        <v>2064</v>
      </c>
      <c r="H105" s="426">
        <v>159.41632000000001</v>
      </c>
      <c r="I105" s="425">
        <v>5.5198200000000002</v>
      </c>
      <c r="J105" s="425">
        <v>18.84</v>
      </c>
      <c r="K105" s="425">
        <v>1806.2320500000001</v>
      </c>
      <c r="L105" s="542" t="s">
        <v>621</v>
      </c>
      <c r="M105" s="423" t="s">
        <v>703</v>
      </c>
      <c r="N105" s="206">
        <v>126.7402</v>
      </c>
      <c r="O105" s="546"/>
      <c r="R105" s="206"/>
    </row>
    <row r="106" spans="1:18" ht="15">
      <c r="A106" s="424">
        <v>224146</v>
      </c>
      <c r="B106" t="str">
        <f t="shared" si="5"/>
        <v>SEVROLL hor.vod.lišta Simple/Blue 1,5m(10mm)str.</v>
      </c>
      <c r="C106" s="209">
        <f t="shared" si="4"/>
        <v>7.0572299999999997</v>
      </c>
      <c r="D106" s="542" t="s">
        <v>4480</v>
      </c>
      <c r="E106" s="542" t="s">
        <v>4481</v>
      </c>
      <c r="F106" s="542" t="s">
        <v>4483</v>
      </c>
      <c r="G106" s="542" t="s">
        <v>4482</v>
      </c>
      <c r="H106" s="426">
        <v>163.63079999999999</v>
      </c>
      <c r="I106" s="425">
        <v>7.0572299999999997</v>
      </c>
      <c r="J106" s="425">
        <v>21.58</v>
      </c>
      <c r="K106" s="425">
        <v>1757.8508200000001</v>
      </c>
      <c r="L106" s="542" t="s">
        <v>621</v>
      </c>
      <c r="M106" s="423" t="s">
        <v>699</v>
      </c>
      <c r="N106" s="206">
        <v>126.8514</v>
      </c>
      <c r="O106" s="546"/>
      <c r="R106" s="206"/>
    </row>
    <row r="107" spans="1:18" ht="15">
      <c r="A107" s="424">
        <v>224123</v>
      </c>
      <c r="B107" t="str">
        <f t="shared" si="5"/>
        <v>SEVROLL spodné vedenie Simple 1,5m oliva</v>
      </c>
      <c r="C107" s="209">
        <f t="shared" si="4"/>
        <v>7.9836600000000004</v>
      </c>
      <c r="D107" s="542" t="s">
        <v>3338</v>
      </c>
      <c r="E107" s="542" t="s">
        <v>2395</v>
      </c>
      <c r="F107" s="542" t="s">
        <v>3339</v>
      </c>
      <c r="G107" s="542" t="s">
        <v>2396</v>
      </c>
      <c r="H107" s="426">
        <v>177.14160000000001</v>
      </c>
      <c r="I107" s="425">
        <v>7.9836600000000004</v>
      </c>
      <c r="J107" s="425">
        <v>21.53</v>
      </c>
      <c r="K107" s="425">
        <v>1902.99449</v>
      </c>
      <c r="L107" s="542" t="s">
        <v>622</v>
      </c>
      <c r="M107" s="423" t="s">
        <v>699</v>
      </c>
      <c r="N107" s="206">
        <v>126.8514</v>
      </c>
      <c r="O107" s="546"/>
      <c r="R107" s="206"/>
    </row>
    <row r="108" spans="1:18" ht="15">
      <c r="A108" s="424">
        <v>273035</v>
      </c>
      <c r="B108" t="str">
        <f t="shared" si="5"/>
        <v>SEVROLL uholník 10x18mm 3m strieb</v>
      </c>
      <c r="C108" s="209">
        <f t="shared" si="4"/>
        <v>6.4598699999999996</v>
      </c>
      <c r="D108" s="542" t="s">
        <v>3219</v>
      </c>
      <c r="E108" s="542" t="s">
        <v>1435</v>
      </c>
      <c r="F108" s="542" t="s">
        <v>3220</v>
      </c>
      <c r="G108" s="542" t="s">
        <v>2588</v>
      </c>
      <c r="H108" s="426">
        <v>185.74848</v>
      </c>
      <c r="I108" s="425">
        <v>6.4598699999999996</v>
      </c>
      <c r="J108" s="425">
        <v>21.95</v>
      </c>
      <c r="K108" s="425">
        <v>2104.5828700000002</v>
      </c>
      <c r="L108" s="542" t="s">
        <v>622</v>
      </c>
      <c r="M108" s="423" t="s">
        <v>699</v>
      </c>
      <c r="N108" s="206">
        <v>127.3935</v>
      </c>
      <c r="O108" s="546"/>
      <c r="R108" s="206"/>
    </row>
    <row r="109" spans="1:18" ht="15">
      <c r="A109" s="424">
        <v>349726</v>
      </c>
      <c r="B109" t="str">
        <f t="shared" si="5"/>
        <v/>
      </c>
      <c r="C109" s="209">
        <f t="shared" si="4"/>
        <v>7.6566900000000002</v>
      </c>
      <c r="D109" s="542" t="s">
        <v>3910</v>
      </c>
      <c r="E109" s="542" t="s">
        <v>1602</v>
      </c>
      <c r="F109" s="542" t="s">
        <v>84</v>
      </c>
      <c r="G109" s="542" t="s">
        <v>84</v>
      </c>
      <c r="H109" s="426">
        <v>174.13919999999999</v>
      </c>
      <c r="I109" s="425">
        <v>7.6566900000000002</v>
      </c>
      <c r="J109" s="425">
        <v>26.7</v>
      </c>
      <c r="K109" s="425">
        <v>1870.7403300000001</v>
      </c>
      <c r="L109" s="542" t="s">
        <v>622</v>
      </c>
      <c r="M109" s="423" t="s">
        <v>699</v>
      </c>
      <c r="N109" s="206">
        <v>127.602</v>
      </c>
      <c r="O109" s="546"/>
      <c r="R109" s="206"/>
    </row>
    <row r="110" spans="1:18" ht="15">
      <c r="A110" s="424">
        <v>349810</v>
      </c>
      <c r="B110" t="str">
        <f t="shared" si="5"/>
        <v/>
      </c>
      <c r="C110" s="209">
        <f t="shared" si="4"/>
        <v>7.5749399999999998</v>
      </c>
      <c r="D110" s="542" t="s">
        <v>3902</v>
      </c>
      <c r="E110" s="542" t="s">
        <v>1609</v>
      </c>
      <c r="F110" s="542" t="s">
        <v>84</v>
      </c>
      <c r="G110" s="542" t="s">
        <v>84</v>
      </c>
      <c r="H110" s="426">
        <v>165.8826</v>
      </c>
      <c r="I110" s="425">
        <v>7.5749399999999998</v>
      </c>
      <c r="J110" s="425">
        <v>26.26</v>
      </c>
      <c r="K110" s="425">
        <v>1782.04144</v>
      </c>
      <c r="L110" s="542" t="s">
        <v>622</v>
      </c>
      <c r="M110" s="423" t="s">
        <v>699</v>
      </c>
      <c r="N110" s="206">
        <v>128.3526</v>
      </c>
      <c r="O110" s="546"/>
      <c r="R110" s="206"/>
    </row>
    <row r="111" spans="1:18" ht="15">
      <c r="A111" s="424">
        <v>89103</v>
      </c>
      <c r="B111" t="str">
        <f t="shared" si="5"/>
        <v>SEVROLL Focus 18mm úch.lišta 2,7m strieborná</v>
      </c>
      <c r="C111" s="209">
        <f t="shared" si="4"/>
        <v>7.4722400000000002</v>
      </c>
      <c r="D111" s="542" t="s">
        <v>4593</v>
      </c>
      <c r="E111" s="542" t="s">
        <v>1102</v>
      </c>
      <c r="F111" s="542" t="s">
        <v>4594</v>
      </c>
      <c r="G111" s="542" t="s">
        <v>1841</v>
      </c>
      <c r="H111" s="426">
        <v>197.13535999999999</v>
      </c>
      <c r="I111" s="425">
        <v>7.4722400000000002</v>
      </c>
      <c r="J111" s="425">
        <v>23.3</v>
      </c>
      <c r="K111" s="425">
        <v>2233.5994599999999</v>
      </c>
      <c r="L111" s="542" t="s">
        <v>621</v>
      </c>
      <c r="M111" s="423" t="s">
        <v>699</v>
      </c>
      <c r="N111" s="206">
        <v>130.66</v>
      </c>
      <c r="O111" s="546"/>
      <c r="R111" s="206"/>
    </row>
    <row r="112" spans="1:18" ht="15">
      <c r="A112" s="424">
        <v>223393</v>
      </c>
      <c r="B112" t="str">
        <f t="shared" si="5"/>
        <v>SEVROLL uholník K2 2,35m čierna kartáč</v>
      </c>
      <c r="C112" s="209">
        <f t="shared" si="4"/>
        <v>6.6044999999999998</v>
      </c>
      <c r="D112" s="542" t="s">
        <v>3200</v>
      </c>
      <c r="E112" s="542" t="s">
        <v>1023</v>
      </c>
      <c r="F112" s="542" t="s">
        <v>3201</v>
      </c>
      <c r="G112" s="542" t="s">
        <v>2618</v>
      </c>
      <c r="H112" s="426">
        <v>190.01856000000001</v>
      </c>
      <c r="I112" s="425">
        <v>6.6044999999999998</v>
      </c>
      <c r="J112" s="425">
        <v>23.04</v>
      </c>
      <c r="K112" s="425">
        <v>2152.9640800000002</v>
      </c>
      <c r="L112" s="542" t="s">
        <v>622</v>
      </c>
      <c r="M112" s="423" t="s">
        <v>699</v>
      </c>
      <c r="N112" s="206">
        <v>130.66</v>
      </c>
      <c r="O112" s="546"/>
      <c r="R112" s="206"/>
    </row>
    <row r="113" spans="1:16382" ht="15">
      <c r="A113" s="424">
        <v>223330</v>
      </c>
      <c r="B113" t="str">
        <f t="shared" si="5"/>
        <v>SEVROLL uholník K2 2,35m oliva tmavá kartáč</v>
      </c>
      <c r="C113" s="209">
        <f t="shared" si="4"/>
        <v>6.6044999999999998</v>
      </c>
      <c r="D113" s="542" t="s">
        <v>3198</v>
      </c>
      <c r="E113" s="542" t="s">
        <v>2619</v>
      </c>
      <c r="F113" s="542" t="s">
        <v>3199</v>
      </c>
      <c r="G113" s="542" t="s">
        <v>2620</v>
      </c>
      <c r="H113" s="426">
        <v>190.01856000000001</v>
      </c>
      <c r="I113" s="425">
        <v>6.6044999999999998</v>
      </c>
      <c r="J113" s="425">
        <v>23.04</v>
      </c>
      <c r="K113" s="425">
        <v>2152.9640800000002</v>
      </c>
      <c r="L113" s="542" t="s">
        <v>622</v>
      </c>
      <c r="M113" s="423" t="s">
        <v>699</v>
      </c>
      <c r="N113" s="206">
        <v>130.66</v>
      </c>
      <c r="O113" s="546"/>
      <c r="R113" s="206"/>
    </row>
    <row r="114" spans="1:16382" ht="15">
      <c r="A114" s="424">
        <v>360760</v>
      </c>
      <c r="B114" t="str">
        <f t="shared" si="5"/>
        <v/>
      </c>
      <c r="C114" s="209">
        <f t="shared" si="4"/>
        <v>7.1588900000000004</v>
      </c>
      <c r="D114" s="542" t="s">
        <v>3365</v>
      </c>
      <c r="E114" s="542" t="s">
        <v>3366</v>
      </c>
      <c r="F114" s="542" t="s">
        <v>84</v>
      </c>
      <c r="G114" s="542" t="s">
        <v>84</v>
      </c>
      <c r="H114" s="426">
        <v>192.15360000000001</v>
      </c>
      <c r="I114" s="425">
        <v>7.1588900000000004</v>
      </c>
      <c r="J114" s="425">
        <v>27.69</v>
      </c>
      <c r="K114" s="425">
        <v>2177.1546899999998</v>
      </c>
      <c r="L114" s="542" t="s">
        <v>622</v>
      </c>
      <c r="M114" s="423" t="s">
        <v>699</v>
      </c>
      <c r="N114" s="206">
        <v>131.9666</v>
      </c>
      <c r="O114" s="546"/>
      <c r="R114" s="206"/>
    </row>
    <row r="115" spans="1:16382" ht="15">
      <c r="A115" s="424">
        <v>228201</v>
      </c>
      <c r="B115" t="str">
        <f t="shared" si="5"/>
        <v>SEVROLL Beta 16 úchytová lišta 2,70m striebo</v>
      </c>
      <c r="C115" s="209">
        <f t="shared" si="4"/>
        <v>7.6650700000000001</v>
      </c>
      <c r="D115" s="542" t="s">
        <v>3927</v>
      </c>
      <c r="E115" s="542" t="s">
        <v>1146</v>
      </c>
      <c r="F115" s="542" t="s">
        <v>3928</v>
      </c>
      <c r="G115" s="542" t="s">
        <v>1577</v>
      </c>
      <c r="H115" s="426">
        <v>202.11712</v>
      </c>
      <c r="I115" s="425">
        <v>7.6650700000000001</v>
      </c>
      <c r="J115" s="425">
        <v>30.24</v>
      </c>
      <c r="K115" s="425">
        <v>2290.0441999999998</v>
      </c>
      <c r="L115" s="542" t="s">
        <v>622</v>
      </c>
      <c r="M115" s="423" t="s">
        <v>699</v>
      </c>
      <c r="N115" s="206">
        <v>133.2732</v>
      </c>
      <c r="O115" s="546"/>
      <c r="R115" s="206"/>
    </row>
    <row r="116" spans="1:16382" ht="15">
      <c r="A116" s="424">
        <v>245814</v>
      </c>
      <c r="B116" t="str">
        <f t="shared" si="5"/>
        <v>SEVROLL Focus II 16mm úch.lišta 2,7m strieborná</v>
      </c>
      <c r="C116" s="209">
        <f t="shared" si="4"/>
        <v>8.0989400000000007</v>
      </c>
      <c r="D116" s="542" t="s">
        <v>3086</v>
      </c>
      <c r="E116" s="542" t="s">
        <v>1263</v>
      </c>
      <c r="F116" s="542" t="s">
        <v>3087</v>
      </c>
      <c r="G116" s="542" t="s">
        <v>1265</v>
      </c>
      <c r="H116" s="426">
        <v>213.50399999999999</v>
      </c>
      <c r="I116" s="425">
        <v>8.0989400000000007</v>
      </c>
      <c r="J116" s="425">
        <v>25.23</v>
      </c>
      <c r="K116" s="425">
        <v>2419.06077</v>
      </c>
      <c r="L116" s="542" t="s">
        <v>622</v>
      </c>
      <c r="M116" s="423" t="s">
        <v>699</v>
      </c>
      <c r="N116" s="206">
        <v>133.2732</v>
      </c>
      <c r="O116" s="546"/>
      <c r="R116" s="206"/>
    </row>
    <row r="117" spans="1:16382" ht="15">
      <c r="A117" s="424">
        <v>345413</v>
      </c>
      <c r="B117" t="str">
        <f t="shared" si="5"/>
        <v>SEVROLL maska Elegant II 3m biela lesk</v>
      </c>
      <c r="C117" s="209">
        <f t="shared" si="4"/>
        <v>6.6527000000000003</v>
      </c>
      <c r="D117" s="542" t="s">
        <v>4421</v>
      </c>
      <c r="E117" s="542" t="s">
        <v>2121</v>
      </c>
      <c r="F117" s="542" t="s">
        <v>4423</v>
      </c>
      <c r="G117" s="542" t="s">
        <v>4422</v>
      </c>
      <c r="H117" s="426">
        <v>184.32512</v>
      </c>
      <c r="I117" s="425">
        <v>6.6527000000000003</v>
      </c>
      <c r="J117" s="425">
        <v>22.08</v>
      </c>
      <c r="K117" s="425">
        <v>2088.4558000000002</v>
      </c>
      <c r="L117" s="542" t="s">
        <v>621</v>
      </c>
      <c r="M117" s="423" t="s">
        <v>699</v>
      </c>
      <c r="N117" s="206">
        <v>133.2732</v>
      </c>
      <c r="O117" s="546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  <c r="BJ117" s="222"/>
      <c r="BK117" s="222"/>
      <c r="BL117" s="222"/>
      <c r="BM117" s="222"/>
      <c r="BN117" s="222"/>
      <c r="BO117" s="222"/>
      <c r="BP117" s="222"/>
      <c r="BQ117" s="222"/>
      <c r="BR117" s="222"/>
      <c r="BS117" s="222"/>
      <c r="BT117" s="222"/>
      <c r="BU117" s="222"/>
      <c r="BV117" s="222"/>
      <c r="BW117" s="222"/>
      <c r="BX117" s="222"/>
      <c r="BY117" s="222"/>
      <c r="BZ117" s="222"/>
      <c r="CA117" s="222"/>
      <c r="CB117" s="222"/>
      <c r="CC117" s="222"/>
      <c r="CD117" s="222"/>
      <c r="CE117" s="222"/>
      <c r="CF117" s="222"/>
      <c r="CG117" s="222"/>
      <c r="CH117" s="222"/>
      <c r="CI117" s="222"/>
      <c r="CJ117" s="222"/>
      <c r="CK117" s="222"/>
      <c r="CL117" s="222"/>
      <c r="CM117" s="222"/>
      <c r="CN117" s="222"/>
      <c r="CO117" s="222"/>
      <c r="CP117" s="222"/>
      <c r="CQ117" s="222"/>
      <c r="CR117" s="222"/>
      <c r="CS117" s="222"/>
      <c r="CT117" s="222"/>
      <c r="CU117" s="222"/>
      <c r="CV117" s="222"/>
      <c r="CW117" s="222"/>
      <c r="CX117" s="222"/>
      <c r="CY117" s="222"/>
      <c r="CZ117" s="222"/>
      <c r="DA117" s="222"/>
      <c r="DB117" s="222"/>
      <c r="DC117" s="222"/>
      <c r="DD117" s="222"/>
      <c r="DE117" s="222"/>
      <c r="DF117" s="222"/>
      <c r="DG117" s="222"/>
      <c r="DH117" s="222"/>
      <c r="DI117" s="222"/>
      <c r="DJ117" s="222"/>
      <c r="DK117" s="222"/>
      <c r="DL117" s="222"/>
      <c r="DM117" s="222"/>
      <c r="DN117" s="222"/>
      <c r="DO117" s="222"/>
      <c r="DP117" s="222"/>
      <c r="DQ117" s="222"/>
      <c r="DR117" s="222"/>
      <c r="DS117" s="222"/>
      <c r="DT117" s="222"/>
      <c r="DU117" s="222"/>
      <c r="DV117" s="222"/>
      <c r="DW117" s="222"/>
      <c r="DX117" s="222"/>
      <c r="DY117" s="222"/>
      <c r="DZ117" s="222"/>
      <c r="EA117" s="222"/>
      <c r="EB117" s="222"/>
      <c r="EC117" s="222"/>
      <c r="ED117" s="222"/>
      <c r="EE117" s="222"/>
      <c r="EF117" s="222"/>
      <c r="EG117" s="222"/>
      <c r="EH117" s="222"/>
      <c r="EI117" s="222"/>
      <c r="EJ117" s="222"/>
      <c r="EK117" s="222"/>
      <c r="EL117" s="222"/>
      <c r="EM117" s="222"/>
      <c r="EN117" s="222"/>
      <c r="EO117" s="222"/>
      <c r="EP117" s="222"/>
      <c r="EQ117" s="222"/>
      <c r="ER117" s="222"/>
      <c r="ES117" s="222"/>
      <c r="ET117" s="222"/>
      <c r="EU117" s="222"/>
      <c r="EV117" s="222"/>
      <c r="EW117" s="222"/>
      <c r="EX117" s="222"/>
      <c r="EY117" s="222"/>
      <c r="EZ117" s="222"/>
      <c r="FA117" s="222"/>
      <c r="FB117" s="222"/>
      <c r="FC117" s="222"/>
      <c r="FD117" s="222"/>
      <c r="FE117" s="222"/>
      <c r="FF117" s="222"/>
      <c r="FG117" s="222"/>
      <c r="FH117" s="222"/>
      <c r="FI117" s="222"/>
      <c r="FJ117" s="222"/>
      <c r="FK117" s="222"/>
      <c r="FL117" s="222"/>
      <c r="FM117" s="222"/>
      <c r="FN117" s="222"/>
      <c r="FO117" s="222"/>
      <c r="FP117" s="222"/>
      <c r="FQ117" s="222"/>
      <c r="FR117" s="222"/>
      <c r="FS117" s="222"/>
      <c r="FT117" s="222"/>
      <c r="FU117" s="222"/>
      <c r="FV117" s="222"/>
      <c r="FW117" s="222"/>
      <c r="FX117" s="222"/>
      <c r="FY117" s="222"/>
      <c r="FZ117" s="222"/>
      <c r="GA117" s="222"/>
      <c r="GB117" s="222"/>
      <c r="GC117" s="222"/>
      <c r="GD117" s="222"/>
      <c r="GE117" s="222"/>
      <c r="GF117" s="222"/>
      <c r="GG117" s="222"/>
      <c r="GH117" s="222"/>
      <c r="GI117" s="222"/>
      <c r="GJ117" s="222"/>
      <c r="GK117" s="222"/>
      <c r="GL117" s="222"/>
      <c r="GM117" s="222"/>
      <c r="GN117" s="222"/>
      <c r="GO117" s="222"/>
      <c r="GP117" s="222"/>
      <c r="GQ117" s="222"/>
      <c r="GR117" s="222"/>
      <c r="GS117" s="222"/>
      <c r="GT117" s="222"/>
      <c r="GU117" s="222"/>
      <c r="GV117" s="222"/>
      <c r="GW117" s="222"/>
      <c r="GX117" s="222"/>
      <c r="GY117" s="222"/>
      <c r="GZ117" s="222"/>
      <c r="HA117" s="222"/>
      <c r="HB117" s="222"/>
      <c r="HC117" s="222"/>
      <c r="HD117" s="222"/>
      <c r="HE117" s="222"/>
      <c r="HF117" s="222"/>
      <c r="HG117" s="222"/>
      <c r="HH117" s="222"/>
      <c r="HI117" s="222"/>
      <c r="HJ117" s="222"/>
      <c r="HK117" s="222"/>
      <c r="HL117" s="222"/>
      <c r="HM117" s="222"/>
      <c r="HN117" s="222"/>
      <c r="HO117" s="222"/>
      <c r="HP117" s="222"/>
      <c r="HQ117" s="222"/>
      <c r="HR117" s="222"/>
      <c r="HS117" s="222"/>
      <c r="HT117" s="222"/>
      <c r="HU117" s="222"/>
      <c r="HV117" s="222"/>
      <c r="HW117" s="222"/>
      <c r="HX117" s="222"/>
      <c r="HY117" s="222"/>
      <c r="HZ117" s="222"/>
      <c r="IA117" s="222"/>
      <c r="IB117" s="222"/>
      <c r="IC117" s="222"/>
      <c r="ID117" s="222"/>
      <c r="IE117" s="222"/>
      <c r="IF117" s="222"/>
      <c r="IG117" s="222"/>
      <c r="IH117" s="222"/>
      <c r="II117" s="222"/>
      <c r="IJ117" s="222"/>
      <c r="IK117" s="222"/>
      <c r="IL117" s="222"/>
      <c r="IM117" s="222"/>
      <c r="IN117" s="222"/>
      <c r="IO117" s="222"/>
      <c r="IP117" s="222"/>
      <c r="IQ117" s="222"/>
      <c r="IR117" s="222"/>
      <c r="IS117" s="222"/>
      <c r="IT117" s="222"/>
      <c r="IU117" s="222"/>
      <c r="IV117" s="222"/>
      <c r="IW117" s="222"/>
      <c r="IX117" s="222"/>
      <c r="IY117" s="222"/>
      <c r="IZ117" s="222"/>
      <c r="JA117" s="222"/>
      <c r="JB117" s="222"/>
      <c r="JC117" s="222"/>
      <c r="JD117" s="222"/>
      <c r="JE117" s="222"/>
      <c r="JF117" s="222"/>
      <c r="JG117" s="222"/>
      <c r="JH117" s="222"/>
      <c r="JI117" s="222"/>
      <c r="JJ117" s="222"/>
      <c r="JK117" s="222"/>
      <c r="JL117" s="222"/>
      <c r="JM117" s="222"/>
      <c r="JN117" s="222"/>
      <c r="JO117" s="222"/>
      <c r="JP117" s="222"/>
      <c r="JQ117" s="222"/>
      <c r="JR117" s="222"/>
      <c r="JS117" s="222"/>
      <c r="JT117" s="222"/>
      <c r="JU117" s="222"/>
      <c r="JV117" s="222"/>
      <c r="JW117" s="222"/>
      <c r="JX117" s="222"/>
      <c r="JY117" s="222"/>
      <c r="JZ117" s="222"/>
      <c r="KA117" s="222"/>
      <c r="KB117" s="222"/>
      <c r="KC117" s="222"/>
      <c r="KD117" s="222"/>
      <c r="KE117" s="222"/>
      <c r="KF117" s="222"/>
      <c r="KG117" s="222"/>
      <c r="KH117" s="222"/>
      <c r="KI117" s="222"/>
      <c r="KJ117" s="222"/>
      <c r="KK117" s="222"/>
      <c r="KL117" s="222"/>
      <c r="KM117" s="222"/>
      <c r="KN117" s="222"/>
      <c r="KO117" s="222"/>
      <c r="KP117" s="222"/>
      <c r="KQ117" s="222"/>
      <c r="KR117" s="222"/>
      <c r="KS117" s="222"/>
      <c r="KT117" s="222"/>
      <c r="KU117" s="222"/>
      <c r="KV117" s="222"/>
      <c r="KW117" s="222"/>
      <c r="KX117" s="222"/>
      <c r="KY117" s="222"/>
      <c r="KZ117" s="222"/>
      <c r="LA117" s="222"/>
      <c r="LB117" s="222"/>
      <c r="LC117" s="222"/>
      <c r="LD117" s="222"/>
      <c r="LE117" s="222"/>
      <c r="LF117" s="222"/>
      <c r="LG117" s="222"/>
      <c r="LH117" s="222"/>
      <c r="LI117" s="222"/>
      <c r="LJ117" s="222"/>
      <c r="LK117" s="222"/>
      <c r="LL117" s="222"/>
      <c r="LM117" s="222"/>
      <c r="LN117" s="222"/>
      <c r="LO117" s="222"/>
      <c r="LP117" s="222"/>
      <c r="LQ117" s="222"/>
      <c r="LR117" s="222"/>
      <c r="LS117" s="222"/>
      <c r="LT117" s="222"/>
      <c r="LU117" s="222"/>
      <c r="LV117" s="222"/>
      <c r="LW117" s="222"/>
      <c r="LX117" s="222"/>
      <c r="LY117" s="222"/>
      <c r="LZ117" s="222"/>
      <c r="MA117" s="222"/>
      <c r="MB117" s="222"/>
      <c r="MC117" s="222"/>
      <c r="MD117" s="222"/>
      <c r="ME117" s="222"/>
      <c r="MF117" s="222"/>
      <c r="MG117" s="222"/>
      <c r="MH117" s="222"/>
      <c r="MI117" s="222"/>
      <c r="MJ117" s="222"/>
      <c r="MK117" s="222"/>
      <c r="ML117" s="222"/>
      <c r="MM117" s="222"/>
      <c r="MN117" s="222"/>
      <c r="MO117" s="222"/>
      <c r="MP117" s="222"/>
      <c r="MQ117" s="222"/>
      <c r="MR117" s="222"/>
      <c r="MS117" s="222"/>
      <c r="MT117" s="222"/>
      <c r="MU117" s="222"/>
      <c r="MV117" s="222"/>
      <c r="MW117" s="222"/>
      <c r="MX117" s="222"/>
      <c r="MY117" s="222"/>
      <c r="MZ117" s="222"/>
      <c r="NA117" s="222"/>
      <c r="NB117" s="222"/>
      <c r="NC117" s="222"/>
      <c r="ND117" s="222"/>
      <c r="NE117" s="222"/>
      <c r="NF117" s="222"/>
      <c r="NG117" s="222"/>
      <c r="NH117" s="222"/>
      <c r="NI117" s="222"/>
      <c r="NJ117" s="222"/>
      <c r="NK117" s="222"/>
      <c r="NL117" s="222"/>
      <c r="NM117" s="222"/>
      <c r="NN117" s="222"/>
      <c r="NO117" s="222"/>
      <c r="NP117" s="222"/>
      <c r="NQ117" s="222"/>
      <c r="NR117" s="222"/>
      <c r="NS117" s="222"/>
      <c r="NT117" s="222"/>
      <c r="NU117" s="222"/>
      <c r="NV117" s="222"/>
      <c r="NW117" s="222"/>
      <c r="NX117" s="222"/>
      <c r="NY117" s="222"/>
      <c r="NZ117" s="222"/>
      <c r="OA117" s="222"/>
      <c r="OB117" s="222"/>
      <c r="OC117" s="222"/>
      <c r="OD117" s="222"/>
      <c r="OE117" s="222"/>
      <c r="OF117" s="222"/>
      <c r="OG117" s="222"/>
      <c r="OH117" s="222"/>
      <c r="OI117" s="222"/>
      <c r="OJ117" s="222"/>
      <c r="OK117" s="222"/>
      <c r="OL117" s="222"/>
      <c r="OM117" s="222"/>
      <c r="ON117" s="222"/>
      <c r="OO117" s="222"/>
      <c r="OP117" s="222"/>
      <c r="OQ117" s="222"/>
      <c r="OR117" s="222"/>
      <c r="OS117" s="222"/>
      <c r="OT117" s="222"/>
      <c r="OU117" s="222"/>
      <c r="OV117" s="222"/>
      <c r="OW117" s="222"/>
      <c r="OX117" s="222"/>
      <c r="OY117" s="222"/>
      <c r="OZ117" s="222"/>
      <c r="PA117" s="222"/>
      <c r="PB117" s="222"/>
      <c r="PC117" s="222"/>
      <c r="PD117" s="222"/>
      <c r="PE117" s="222"/>
      <c r="PF117" s="222"/>
      <c r="PG117" s="222"/>
      <c r="PH117" s="222"/>
      <c r="PI117" s="222"/>
      <c r="PJ117" s="222"/>
      <c r="PK117" s="222"/>
      <c r="PL117" s="222"/>
      <c r="PM117" s="222"/>
      <c r="PN117" s="222"/>
      <c r="PO117" s="222"/>
      <c r="PP117" s="222"/>
      <c r="PQ117" s="222"/>
      <c r="PR117" s="222"/>
      <c r="PS117" s="222"/>
      <c r="PT117" s="222"/>
      <c r="PU117" s="222"/>
      <c r="PV117" s="222"/>
      <c r="PW117" s="222"/>
      <c r="PX117" s="222"/>
      <c r="PY117" s="222"/>
      <c r="PZ117" s="222"/>
      <c r="QA117" s="222"/>
      <c r="QB117" s="222"/>
      <c r="QC117" s="222"/>
      <c r="QD117" s="222"/>
      <c r="QE117" s="222"/>
      <c r="QF117" s="222"/>
      <c r="QG117" s="222"/>
      <c r="QH117" s="222"/>
      <c r="QI117" s="222"/>
      <c r="QJ117" s="222"/>
      <c r="QK117" s="222"/>
      <c r="QL117" s="222"/>
      <c r="QM117" s="222"/>
      <c r="QN117" s="222"/>
      <c r="QO117" s="222"/>
      <c r="QP117" s="222"/>
      <c r="QQ117" s="222"/>
      <c r="QR117" s="222"/>
      <c r="QS117" s="222"/>
      <c r="QT117" s="222"/>
      <c r="QU117" s="222"/>
      <c r="QV117" s="222"/>
      <c r="QW117" s="222"/>
      <c r="QX117" s="222"/>
      <c r="QY117" s="222"/>
      <c r="QZ117" s="222"/>
      <c r="RA117" s="222"/>
      <c r="RB117" s="222"/>
      <c r="RC117" s="222"/>
      <c r="RD117" s="222"/>
      <c r="RE117" s="222"/>
      <c r="RF117" s="222"/>
      <c r="RG117" s="222"/>
      <c r="RH117" s="222"/>
      <c r="RI117" s="222"/>
      <c r="RJ117" s="222"/>
      <c r="RK117" s="222"/>
      <c r="RL117" s="222"/>
      <c r="RM117" s="222"/>
      <c r="RN117" s="222"/>
      <c r="RO117" s="222"/>
      <c r="RP117" s="222"/>
      <c r="RQ117" s="222"/>
      <c r="RR117" s="222"/>
      <c r="RS117" s="222"/>
      <c r="RT117" s="222"/>
      <c r="RU117" s="222"/>
      <c r="RV117" s="222"/>
      <c r="RW117" s="222"/>
      <c r="RX117" s="222"/>
      <c r="RY117" s="222"/>
      <c r="RZ117" s="222"/>
      <c r="SA117" s="222"/>
      <c r="SB117" s="222"/>
      <c r="SC117" s="222"/>
      <c r="SD117" s="222"/>
      <c r="SE117" s="222"/>
      <c r="SF117" s="222"/>
      <c r="SG117" s="222"/>
      <c r="SH117" s="222"/>
      <c r="SI117" s="222"/>
      <c r="SJ117" s="222"/>
      <c r="SK117" s="222"/>
      <c r="SL117" s="222"/>
      <c r="SM117" s="222"/>
      <c r="SN117" s="222"/>
      <c r="SO117" s="222"/>
      <c r="SP117" s="222"/>
      <c r="SQ117" s="222"/>
      <c r="SR117" s="222"/>
      <c r="SS117" s="222"/>
      <c r="ST117" s="222"/>
      <c r="SU117" s="222"/>
      <c r="SV117" s="222"/>
      <c r="SW117" s="222"/>
      <c r="SX117" s="222"/>
      <c r="SY117" s="222"/>
      <c r="SZ117" s="222"/>
      <c r="TA117" s="222"/>
      <c r="TB117" s="222"/>
      <c r="TC117" s="222"/>
      <c r="TD117" s="222"/>
      <c r="TE117" s="222"/>
      <c r="TF117" s="222"/>
      <c r="TG117" s="222"/>
      <c r="TH117" s="222"/>
      <c r="TI117" s="222"/>
      <c r="TJ117" s="222"/>
      <c r="TK117" s="222"/>
      <c r="TL117" s="222"/>
      <c r="TM117" s="222"/>
      <c r="TN117" s="222"/>
      <c r="TO117" s="222"/>
      <c r="TP117" s="222"/>
      <c r="TQ117" s="222"/>
      <c r="TR117" s="222"/>
      <c r="TS117" s="222"/>
      <c r="TT117" s="222"/>
      <c r="TU117" s="222"/>
      <c r="TV117" s="222"/>
      <c r="TW117" s="222"/>
      <c r="TX117" s="222"/>
      <c r="TY117" s="222"/>
      <c r="TZ117" s="222"/>
      <c r="UA117" s="222"/>
      <c r="UB117" s="222"/>
      <c r="UC117" s="222"/>
      <c r="UD117" s="222"/>
      <c r="UE117" s="222"/>
      <c r="UF117" s="222"/>
      <c r="UG117" s="222"/>
      <c r="UH117" s="222"/>
      <c r="UI117" s="222"/>
      <c r="UJ117" s="222"/>
      <c r="UK117" s="222"/>
      <c r="UL117" s="222"/>
      <c r="UM117" s="222"/>
      <c r="UN117" s="222"/>
      <c r="UO117" s="222"/>
      <c r="UP117" s="222"/>
      <c r="UQ117" s="222"/>
      <c r="UR117" s="222"/>
      <c r="US117" s="222"/>
      <c r="UT117" s="222"/>
      <c r="UU117" s="222"/>
      <c r="UV117" s="222"/>
      <c r="UW117" s="222"/>
      <c r="UX117" s="222"/>
      <c r="UY117" s="222"/>
      <c r="UZ117" s="222"/>
      <c r="VA117" s="222"/>
      <c r="VB117" s="222"/>
      <c r="VC117" s="222"/>
      <c r="VD117" s="222"/>
      <c r="VE117" s="222"/>
      <c r="VF117" s="222"/>
      <c r="VG117" s="222"/>
      <c r="VH117" s="222"/>
      <c r="VI117" s="222"/>
      <c r="VJ117" s="222"/>
      <c r="VK117" s="222"/>
      <c r="VL117" s="222"/>
      <c r="VM117" s="222"/>
      <c r="VN117" s="222"/>
      <c r="VO117" s="222"/>
      <c r="VP117" s="222"/>
      <c r="VQ117" s="222"/>
      <c r="VR117" s="222"/>
      <c r="VS117" s="222"/>
      <c r="VT117" s="222"/>
      <c r="VU117" s="222"/>
      <c r="VV117" s="222"/>
      <c r="VW117" s="222"/>
      <c r="VX117" s="222"/>
      <c r="VY117" s="222"/>
      <c r="VZ117" s="222"/>
      <c r="WA117" s="222"/>
      <c r="WB117" s="222"/>
      <c r="WC117" s="222"/>
      <c r="WD117" s="222"/>
      <c r="WE117" s="222"/>
      <c r="WF117" s="222"/>
      <c r="WG117" s="222"/>
      <c r="WH117" s="222"/>
      <c r="WI117" s="222"/>
      <c r="WJ117" s="222"/>
      <c r="WK117" s="222"/>
      <c r="WL117" s="222"/>
      <c r="WM117" s="222"/>
      <c r="WN117" s="222"/>
      <c r="WO117" s="222"/>
      <c r="WP117" s="222"/>
      <c r="WQ117" s="222"/>
      <c r="WR117" s="222"/>
      <c r="WS117" s="222"/>
      <c r="WT117" s="222"/>
      <c r="WU117" s="222"/>
      <c r="WV117" s="222"/>
      <c r="WW117" s="222"/>
      <c r="WX117" s="222"/>
      <c r="WY117" s="222"/>
      <c r="WZ117" s="222"/>
      <c r="XA117" s="222"/>
      <c r="XB117" s="222"/>
      <c r="XC117" s="222"/>
      <c r="XD117" s="222"/>
      <c r="XE117" s="222"/>
      <c r="XF117" s="222"/>
      <c r="XG117" s="222"/>
      <c r="XH117" s="222"/>
      <c r="XI117" s="222"/>
      <c r="XJ117" s="222"/>
      <c r="XK117" s="222"/>
      <c r="XL117" s="222"/>
      <c r="XM117" s="222"/>
      <c r="XN117" s="222"/>
      <c r="XO117" s="222"/>
      <c r="XP117" s="222"/>
      <c r="XQ117" s="222"/>
      <c r="XR117" s="222"/>
      <c r="XS117" s="222"/>
      <c r="XT117" s="222"/>
      <c r="XU117" s="222"/>
      <c r="XV117" s="222"/>
      <c r="XW117" s="222"/>
      <c r="XX117" s="222"/>
      <c r="XY117" s="222"/>
      <c r="XZ117" s="222"/>
      <c r="YA117" s="222"/>
      <c r="YB117" s="222"/>
      <c r="YC117" s="222"/>
      <c r="YD117" s="222"/>
      <c r="YE117" s="222"/>
      <c r="YF117" s="222"/>
      <c r="YG117" s="222"/>
      <c r="YH117" s="222"/>
      <c r="YI117" s="222"/>
      <c r="YJ117" s="222"/>
      <c r="YK117" s="222"/>
      <c r="YL117" s="222"/>
      <c r="YM117" s="222"/>
      <c r="YN117" s="222"/>
      <c r="YO117" s="222"/>
      <c r="YP117" s="222"/>
      <c r="YQ117" s="222"/>
      <c r="YR117" s="222"/>
      <c r="YS117" s="222"/>
      <c r="YT117" s="222"/>
      <c r="YU117" s="222"/>
      <c r="YV117" s="222"/>
      <c r="YW117" s="222"/>
      <c r="YX117" s="222"/>
      <c r="YY117" s="222"/>
      <c r="YZ117" s="222"/>
      <c r="ZA117" s="222"/>
      <c r="ZB117" s="222"/>
      <c r="ZC117" s="222"/>
      <c r="ZD117" s="222"/>
      <c r="ZE117" s="222"/>
      <c r="ZF117" s="222"/>
      <c r="ZG117" s="222"/>
      <c r="ZH117" s="222"/>
      <c r="ZI117" s="222"/>
      <c r="ZJ117" s="222"/>
      <c r="ZK117" s="222"/>
      <c r="ZL117" s="222"/>
      <c r="ZM117" s="222"/>
      <c r="ZN117" s="222"/>
      <c r="ZO117" s="222"/>
      <c r="ZP117" s="222"/>
      <c r="ZQ117" s="222"/>
      <c r="ZR117" s="222"/>
      <c r="ZS117" s="222"/>
      <c r="ZT117" s="222"/>
      <c r="ZU117" s="222"/>
      <c r="ZV117" s="222"/>
      <c r="ZW117" s="222"/>
      <c r="ZX117" s="222"/>
      <c r="ZY117" s="222"/>
      <c r="ZZ117" s="222"/>
      <c r="AAA117" s="222"/>
      <c r="AAB117" s="222"/>
      <c r="AAC117" s="222"/>
      <c r="AAD117" s="222"/>
      <c r="AAE117" s="222"/>
      <c r="AAF117" s="222"/>
      <c r="AAG117" s="222"/>
      <c r="AAH117" s="222"/>
      <c r="AAI117" s="222"/>
      <c r="AAJ117" s="222"/>
      <c r="AAK117" s="222"/>
      <c r="AAL117" s="222"/>
      <c r="AAM117" s="222"/>
      <c r="AAN117" s="222"/>
      <c r="AAO117" s="222"/>
      <c r="AAP117" s="222"/>
      <c r="AAQ117" s="222"/>
      <c r="AAR117" s="222"/>
      <c r="AAS117" s="222"/>
      <c r="AAT117" s="222"/>
      <c r="AAU117" s="222"/>
      <c r="AAV117" s="222"/>
      <c r="AAW117" s="222"/>
      <c r="AAX117" s="222"/>
      <c r="AAY117" s="222"/>
      <c r="AAZ117" s="222"/>
      <c r="ABA117" s="222"/>
      <c r="ABB117" s="222"/>
      <c r="ABC117" s="222"/>
      <c r="ABD117" s="222"/>
      <c r="ABE117" s="222"/>
      <c r="ABF117" s="222"/>
      <c r="ABG117" s="222"/>
      <c r="ABH117" s="222"/>
      <c r="ABI117" s="222"/>
      <c r="ABJ117" s="222"/>
      <c r="ABK117" s="222"/>
      <c r="ABL117" s="222"/>
      <c r="ABM117" s="222"/>
      <c r="ABN117" s="222"/>
      <c r="ABO117" s="222"/>
      <c r="ABP117" s="222"/>
      <c r="ABQ117" s="222"/>
      <c r="ABR117" s="222"/>
      <c r="ABS117" s="222"/>
      <c r="ABT117" s="222"/>
      <c r="ABU117" s="222"/>
      <c r="ABV117" s="222"/>
      <c r="ABW117" s="222"/>
      <c r="ABX117" s="222"/>
      <c r="ABY117" s="222"/>
      <c r="ABZ117" s="222"/>
      <c r="ACA117" s="222"/>
      <c r="ACB117" s="222"/>
      <c r="ACC117" s="222"/>
      <c r="ACD117" s="222"/>
      <c r="ACE117" s="222"/>
      <c r="ACF117" s="222"/>
      <c r="ACG117" s="222"/>
      <c r="ACH117" s="222"/>
      <c r="ACI117" s="222"/>
      <c r="ACJ117" s="222"/>
      <c r="ACK117" s="222"/>
      <c r="ACL117" s="222"/>
      <c r="ACM117" s="222"/>
      <c r="ACN117" s="222"/>
      <c r="ACO117" s="222"/>
      <c r="ACP117" s="222"/>
      <c r="ACQ117" s="222"/>
      <c r="ACR117" s="222"/>
      <c r="ACS117" s="222"/>
      <c r="ACT117" s="222"/>
      <c r="ACU117" s="222"/>
      <c r="ACV117" s="222"/>
      <c r="ACW117" s="222"/>
      <c r="ACX117" s="222"/>
      <c r="ACY117" s="222"/>
      <c r="ACZ117" s="222"/>
      <c r="ADA117" s="222"/>
      <c r="ADB117" s="222"/>
      <c r="ADC117" s="222"/>
      <c r="ADD117" s="222"/>
      <c r="ADE117" s="222"/>
      <c r="ADF117" s="222"/>
      <c r="ADG117" s="222"/>
      <c r="ADH117" s="222"/>
      <c r="ADI117" s="222"/>
      <c r="ADJ117" s="222"/>
      <c r="ADK117" s="222"/>
      <c r="ADL117" s="222"/>
      <c r="ADM117" s="222"/>
      <c r="ADN117" s="222"/>
      <c r="ADO117" s="222"/>
      <c r="ADP117" s="222"/>
      <c r="ADQ117" s="222"/>
      <c r="ADR117" s="222"/>
      <c r="ADS117" s="222"/>
      <c r="ADT117" s="222"/>
      <c r="ADU117" s="222"/>
      <c r="ADV117" s="222"/>
      <c r="ADW117" s="222"/>
      <c r="ADX117" s="222"/>
      <c r="ADY117" s="222"/>
      <c r="ADZ117" s="222"/>
      <c r="AEA117" s="222"/>
      <c r="AEB117" s="222"/>
      <c r="AEC117" s="222"/>
      <c r="AED117" s="222"/>
      <c r="AEE117" s="222"/>
      <c r="AEF117" s="222"/>
      <c r="AEG117" s="222"/>
      <c r="AEH117" s="222"/>
      <c r="AEI117" s="222"/>
      <c r="AEJ117" s="222"/>
      <c r="AEK117" s="222"/>
      <c r="AEL117" s="222"/>
      <c r="AEM117" s="222"/>
      <c r="AEN117" s="222"/>
      <c r="AEO117" s="222"/>
      <c r="AEP117" s="222"/>
      <c r="AEQ117" s="222"/>
      <c r="AER117" s="222"/>
      <c r="AES117" s="222"/>
      <c r="AET117" s="222"/>
      <c r="AEU117" s="222"/>
      <c r="AEV117" s="222"/>
      <c r="AEW117" s="222"/>
      <c r="AEX117" s="222"/>
      <c r="AEY117" s="222"/>
      <c r="AEZ117" s="222"/>
      <c r="AFA117" s="222"/>
      <c r="AFB117" s="222"/>
      <c r="AFC117" s="222"/>
      <c r="AFD117" s="222"/>
      <c r="AFE117" s="222"/>
      <c r="AFF117" s="222"/>
      <c r="AFG117" s="222"/>
      <c r="AFH117" s="222"/>
      <c r="AFI117" s="222"/>
      <c r="AFJ117" s="222"/>
      <c r="AFK117" s="222"/>
      <c r="AFL117" s="222"/>
      <c r="AFM117" s="222"/>
      <c r="AFN117" s="222"/>
      <c r="AFO117" s="222"/>
      <c r="AFP117" s="222"/>
      <c r="AFQ117" s="222"/>
      <c r="AFR117" s="222"/>
      <c r="AFS117" s="222"/>
      <c r="AFT117" s="222"/>
      <c r="AFU117" s="222"/>
      <c r="AFV117" s="222"/>
      <c r="AFW117" s="222"/>
      <c r="AFX117" s="222"/>
      <c r="AFY117" s="222"/>
      <c r="AFZ117" s="222"/>
      <c r="AGA117" s="222"/>
      <c r="AGB117" s="222"/>
      <c r="AGC117" s="222"/>
      <c r="AGD117" s="222"/>
      <c r="AGE117" s="222"/>
      <c r="AGF117" s="222"/>
      <c r="AGG117" s="222"/>
      <c r="AGH117" s="222"/>
      <c r="AGI117" s="222"/>
      <c r="AGJ117" s="222"/>
      <c r="AGK117" s="222"/>
      <c r="AGL117" s="222"/>
      <c r="AGM117" s="222"/>
      <c r="AGN117" s="222"/>
      <c r="AGO117" s="222"/>
      <c r="AGP117" s="222"/>
      <c r="AGQ117" s="222"/>
      <c r="AGR117" s="222"/>
      <c r="AGS117" s="222"/>
      <c r="AGT117" s="222"/>
      <c r="AGU117" s="222"/>
      <c r="AGV117" s="222"/>
      <c r="AGW117" s="222"/>
      <c r="AGX117" s="222"/>
      <c r="AGY117" s="222"/>
      <c r="AGZ117" s="222"/>
      <c r="AHA117" s="222"/>
      <c r="AHB117" s="222"/>
      <c r="AHC117" s="222"/>
      <c r="AHD117" s="222"/>
      <c r="AHE117" s="222"/>
      <c r="AHF117" s="222"/>
      <c r="AHG117" s="222"/>
      <c r="AHH117" s="222"/>
      <c r="AHI117" s="222"/>
      <c r="AHJ117" s="222"/>
      <c r="AHK117" s="222"/>
      <c r="AHL117" s="222"/>
      <c r="AHM117" s="222"/>
      <c r="AHN117" s="222"/>
      <c r="AHO117" s="222"/>
      <c r="AHP117" s="222"/>
      <c r="AHQ117" s="222"/>
      <c r="AHR117" s="222"/>
      <c r="AHS117" s="222"/>
      <c r="AHT117" s="222"/>
      <c r="AHU117" s="222"/>
      <c r="AHV117" s="222"/>
      <c r="AHW117" s="222"/>
      <c r="AHX117" s="222"/>
      <c r="AHY117" s="222"/>
      <c r="AHZ117" s="222"/>
      <c r="AIA117" s="222"/>
      <c r="AIB117" s="222"/>
      <c r="AIC117" s="222"/>
      <c r="AID117" s="222"/>
      <c r="AIE117" s="222"/>
      <c r="AIF117" s="222"/>
      <c r="AIG117" s="222"/>
      <c r="AIH117" s="222"/>
      <c r="AII117" s="222"/>
      <c r="AIJ117" s="222"/>
      <c r="AIK117" s="222"/>
      <c r="AIL117" s="222"/>
      <c r="AIM117" s="222"/>
      <c r="AIN117" s="222"/>
      <c r="AIO117" s="222"/>
      <c r="AIP117" s="222"/>
      <c r="AIQ117" s="222"/>
      <c r="AIR117" s="222"/>
      <c r="AIS117" s="222"/>
      <c r="AIT117" s="222"/>
      <c r="AIU117" s="222"/>
      <c r="AIV117" s="222"/>
      <c r="AIW117" s="222"/>
      <c r="AIX117" s="222"/>
      <c r="AIY117" s="222"/>
      <c r="AIZ117" s="222"/>
      <c r="AJA117" s="222"/>
      <c r="AJB117" s="222"/>
      <c r="AJC117" s="222"/>
      <c r="AJD117" s="222"/>
      <c r="AJE117" s="222"/>
      <c r="AJF117" s="222"/>
      <c r="AJG117" s="222"/>
      <c r="AJH117" s="222"/>
      <c r="AJI117" s="222"/>
      <c r="AJJ117" s="222"/>
      <c r="AJK117" s="222"/>
      <c r="AJL117" s="222"/>
      <c r="AJM117" s="222"/>
      <c r="AJN117" s="222"/>
      <c r="AJO117" s="222"/>
      <c r="AJP117" s="222"/>
      <c r="AJQ117" s="222"/>
      <c r="AJR117" s="222"/>
      <c r="AJS117" s="222"/>
      <c r="AJT117" s="222"/>
      <c r="AJU117" s="222"/>
      <c r="AJV117" s="222"/>
      <c r="AJW117" s="222"/>
      <c r="AJX117" s="222"/>
      <c r="AJY117" s="222"/>
      <c r="AJZ117" s="222"/>
      <c r="AKA117" s="222"/>
      <c r="AKB117" s="222"/>
      <c r="AKC117" s="222"/>
      <c r="AKD117" s="222"/>
      <c r="AKE117" s="222"/>
      <c r="AKF117" s="222"/>
      <c r="AKG117" s="222"/>
      <c r="AKH117" s="222"/>
      <c r="AKI117" s="222"/>
      <c r="AKJ117" s="222"/>
      <c r="AKK117" s="222"/>
      <c r="AKL117" s="222"/>
      <c r="AKM117" s="222"/>
      <c r="AKN117" s="222"/>
      <c r="AKO117" s="222"/>
      <c r="AKP117" s="222"/>
      <c r="AKQ117" s="222"/>
      <c r="AKR117" s="222"/>
      <c r="AKS117" s="222"/>
      <c r="AKT117" s="222"/>
      <c r="AKU117" s="222"/>
      <c r="AKV117" s="222"/>
      <c r="AKW117" s="222"/>
      <c r="AKX117" s="222"/>
      <c r="AKY117" s="222"/>
      <c r="AKZ117" s="222"/>
      <c r="ALA117" s="222"/>
      <c r="ALB117" s="222"/>
      <c r="ALC117" s="222"/>
      <c r="ALD117" s="222"/>
      <c r="ALE117" s="222"/>
      <c r="ALF117" s="222"/>
      <c r="ALG117" s="222"/>
      <c r="ALH117" s="222"/>
      <c r="ALI117" s="222"/>
      <c r="ALJ117" s="222"/>
      <c r="ALK117" s="222"/>
      <c r="ALL117" s="222"/>
      <c r="ALM117" s="222"/>
      <c r="ALN117" s="222"/>
      <c r="ALO117" s="222"/>
      <c r="ALP117" s="222"/>
      <c r="ALQ117" s="222"/>
      <c r="ALR117" s="222"/>
      <c r="ALS117" s="222"/>
      <c r="ALT117" s="222"/>
      <c r="ALU117" s="222"/>
      <c r="ALV117" s="222"/>
      <c r="ALW117" s="222"/>
      <c r="ALX117" s="222"/>
      <c r="ALY117" s="222"/>
      <c r="ALZ117" s="222"/>
      <c r="AMA117" s="222"/>
      <c r="AMB117" s="222"/>
      <c r="AMC117" s="222"/>
      <c r="AMD117" s="222"/>
      <c r="AME117" s="222"/>
      <c r="AMF117" s="222"/>
      <c r="AMG117" s="222"/>
      <c r="AMH117" s="222"/>
      <c r="AMI117" s="222"/>
      <c r="AMJ117" s="222"/>
      <c r="AMK117" s="222"/>
      <c r="AML117" s="222"/>
      <c r="AMM117" s="222"/>
      <c r="AMN117" s="222"/>
      <c r="AMO117" s="222"/>
      <c r="AMP117" s="222"/>
      <c r="AMQ117" s="222"/>
      <c r="AMR117" s="222"/>
      <c r="AMS117" s="222"/>
      <c r="AMT117" s="222"/>
      <c r="AMU117" s="222"/>
      <c r="AMV117" s="222"/>
      <c r="AMW117" s="222"/>
      <c r="AMX117" s="222"/>
      <c r="AMY117" s="222"/>
      <c r="AMZ117" s="222"/>
      <c r="ANA117" s="222"/>
      <c r="ANB117" s="222"/>
      <c r="ANC117" s="222"/>
      <c r="AND117" s="222"/>
      <c r="ANE117" s="222"/>
      <c r="ANF117" s="222"/>
      <c r="ANG117" s="222"/>
      <c r="ANH117" s="222"/>
      <c r="ANI117" s="222"/>
      <c r="ANJ117" s="222"/>
      <c r="ANK117" s="222"/>
      <c r="ANL117" s="222"/>
      <c r="ANM117" s="222"/>
      <c r="ANN117" s="222"/>
      <c r="ANO117" s="222"/>
      <c r="ANP117" s="222"/>
      <c r="ANQ117" s="222"/>
      <c r="ANR117" s="222"/>
      <c r="ANS117" s="222"/>
      <c r="ANT117" s="222"/>
      <c r="ANU117" s="222"/>
      <c r="ANV117" s="222"/>
      <c r="ANW117" s="222"/>
      <c r="ANX117" s="222"/>
      <c r="ANY117" s="222"/>
      <c r="ANZ117" s="222"/>
      <c r="AOA117" s="222"/>
      <c r="AOB117" s="222"/>
      <c r="AOC117" s="222"/>
      <c r="AOD117" s="222"/>
      <c r="AOE117" s="222"/>
      <c r="AOF117" s="222"/>
      <c r="AOG117" s="222"/>
      <c r="AOH117" s="222"/>
      <c r="AOI117" s="222"/>
      <c r="AOJ117" s="222"/>
      <c r="AOK117" s="222"/>
      <c r="AOL117" s="222"/>
      <c r="AOM117" s="222"/>
      <c r="AON117" s="222"/>
      <c r="AOO117" s="222"/>
      <c r="AOP117" s="222"/>
      <c r="AOQ117" s="222"/>
      <c r="AOR117" s="222"/>
      <c r="AOS117" s="222"/>
      <c r="AOT117" s="222"/>
      <c r="AOU117" s="222"/>
      <c r="AOV117" s="222"/>
      <c r="AOW117" s="222"/>
      <c r="AOX117" s="222"/>
      <c r="AOY117" s="222"/>
      <c r="AOZ117" s="222"/>
      <c r="APA117" s="222"/>
      <c r="APB117" s="222"/>
      <c r="APC117" s="222"/>
      <c r="APD117" s="222"/>
      <c r="APE117" s="222"/>
      <c r="APF117" s="222"/>
      <c r="APG117" s="222"/>
      <c r="APH117" s="222"/>
      <c r="API117" s="222"/>
      <c r="APJ117" s="222"/>
      <c r="APK117" s="222"/>
      <c r="APL117" s="222"/>
      <c r="APM117" s="222"/>
      <c r="APN117" s="222"/>
      <c r="APO117" s="222"/>
      <c r="APP117" s="222"/>
      <c r="APQ117" s="222"/>
      <c r="APR117" s="222"/>
      <c r="APS117" s="222"/>
      <c r="APT117" s="222"/>
      <c r="APU117" s="222"/>
      <c r="APV117" s="222"/>
      <c r="APW117" s="222"/>
      <c r="APX117" s="222"/>
      <c r="APY117" s="222"/>
      <c r="APZ117" s="222"/>
      <c r="AQA117" s="222"/>
      <c r="AQB117" s="222"/>
      <c r="AQC117" s="222"/>
      <c r="AQD117" s="222"/>
      <c r="AQE117" s="222"/>
      <c r="AQF117" s="222"/>
      <c r="AQG117" s="222"/>
      <c r="AQH117" s="222"/>
      <c r="AQI117" s="222"/>
      <c r="AQJ117" s="222"/>
      <c r="AQK117" s="222"/>
      <c r="AQL117" s="222"/>
      <c r="AQM117" s="222"/>
      <c r="AQN117" s="222"/>
      <c r="AQO117" s="222"/>
      <c r="AQP117" s="222"/>
      <c r="AQQ117" s="222"/>
      <c r="AQR117" s="222"/>
      <c r="AQS117" s="222"/>
      <c r="AQT117" s="222"/>
      <c r="AQU117" s="222"/>
      <c r="AQV117" s="222"/>
      <c r="AQW117" s="222"/>
      <c r="AQX117" s="222"/>
      <c r="AQY117" s="222"/>
      <c r="AQZ117" s="222"/>
      <c r="ARA117" s="222"/>
      <c r="ARB117" s="222"/>
      <c r="ARC117" s="222"/>
      <c r="ARD117" s="222"/>
      <c r="ARE117" s="222"/>
      <c r="ARF117" s="222"/>
      <c r="ARG117" s="222"/>
      <c r="ARH117" s="222"/>
      <c r="ARI117" s="222"/>
      <c r="ARJ117" s="222"/>
      <c r="ARK117" s="222"/>
      <c r="ARL117" s="222"/>
      <c r="ARM117" s="222"/>
      <c r="ARN117" s="222"/>
      <c r="ARO117" s="222"/>
      <c r="ARP117" s="222"/>
      <c r="ARQ117" s="222"/>
      <c r="ARR117" s="222"/>
      <c r="ARS117" s="222"/>
      <c r="ART117" s="222"/>
      <c r="ARU117" s="222"/>
      <c r="ARV117" s="222"/>
      <c r="ARW117" s="222"/>
      <c r="ARX117" s="222"/>
      <c r="ARY117" s="222"/>
      <c r="ARZ117" s="222"/>
      <c r="ASA117" s="222"/>
      <c r="ASB117" s="222"/>
      <c r="ASC117" s="222"/>
      <c r="ASD117" s="222"/>
      <c r="ASE117" s="222"/>
      <c r="ASF117" s="222"/>
      <c r="ASG117" s="222"/>
      <c r="ASH117" s="222"/>
      <c r="ASI117" s="222"/>
      <c r="ASJ117" s="222"/>
      <c r="ASK117" s="222"/>
      <c r="ASL117" s="222"/>
      <c r="ASM117" s="222"/>
      <c r="ASN117" s="222"/>
      <c r="ASO117" s="222"/>
      <c r="ASP117" s="222"/>
      <c r="ASQ117" s="222"/>
      <c r="ASR117" s="222"/>
      <c r="ASS117" s="222"/>
      <c r="AST117" s="222"/>
      <c r="ASU117" s="222"/>
      <c r="ASV117" s="222"/>
      <c r="ASW117" s="222"/>
      <c r="ASX117" s="222"/>
      <c r="ASY117" s="222"/>
      <c r="ASZ117" s="222"/>
      <c r="ATA117" s="222"/>
      <c r="ATB117" s="222"/>
      <c r="ATC117" s="222"/>
      <c r="ATD117" s="222"/>
      <c r="ATE117" s="222"/>
      <c r="ATF117" s="222"/>
      <c r="ATG117" s="222"/>
      <c r="ATH117" s="222"/>
      <c r="ATI117" s="222"/>
      <c r="ATJ117" s="222"/>
      <c r="ATK117" s="222"/>
      <c r="ATL117" s="222"/>
      <c r="ATM117" s="222"/>
      <c r="ATN117" s="222"/>
      <c r="ATO117" s="222"/>
      <c r="ATP117" s="222"/>
      <c r="ATQ117" s="222"/>
      <c r="ATR117" s="222"/>
      <c r="ATS117" s="222"/>
      <c r="ATT117" s="222"/>
      <c r="ATU117" s="222"/>
      <c r="ATV117" s="222"/>
      <c r="ATW117" s="222"/>
      <c r="ATX117" s="222"/>
      <c r="ATY117" s="222"/>
      <c r="ATZ117" s="222"/>
      <c r="AUA117" s="222"/>
      <c r="AUB117" s="222"/>
      <c r="AUC117" s="222"/>
      <c r="AUD117" s="222"/>
      <c r="AUE117" s="222"/>
      <c r="AUF117" s="222"/>
      <c r="AUG117" s="222"/>
      <c r="AUH117" s="222"/>
      <c r="AUI117" s="222"/>
      <c r="AUJ117" s="222"/>
      <c r="AUK117" s="222"/>
      <c r="AUL117" s="222"/>
      <c r="AUM117" s="222"/>
      <c r="AUN117" s="222"/>
      <c r="AUO117" s="222"/>
      <c r="AUP117" s="222"/>
      <c r="AUQ117" s="222"/>
      <c r="AUR117" s="222"/>
      <c r="AUS117" s="222"/>
      <c r="AUT117" s="222"/>
      <c r="AUU117" s="222"/>
      <c r="AUV117" s="222"/>
      <c r="AUW117" s="222"/>
      <c r="AUX117" s="222"/>
      <c r="AUY117" s="222"/>
      <c r="AUZ117" s="222"/>
      <c r="AVA117" s="222"/>
      <c r="AVB117" s="222"/>
      <c r="AVC117" s="222"/>
      <c r="AVD117" s="222"/>
      <c r="AVE117" s="222"/>
      <c r="AVF117" s="222"/>
      <c r="AVG117" s="222"/>
      <c r="AVH117" s="222"/>
      <c r="AVI117" s="222"/>
      <c r="AVJ117" s="222"/>
      <c r="AVK117" s="222"/>
      <c r="AVL117" s="222"/>
      <c r="AVM117" s="222"/>
      <c r="AVN117" s="222"/>
      <c r="AVO117" s="222"/>
      <c r="AVP117" s="222"/>
      <c r="AVQ117" s="222"/>
      <c r="AVR117" s="222"/>
      <c r="AVS117" s="222"/>
      <c r="AVT117" s="222"/>
      <c r="AVU117" s="222"/>
      <c r="AVV117" s="222"/>
      <c r="AVW117" s="222"/>
      <c r="AVX117" s="222"/>
      <c r="AVY117" s="222"/>
      <c r="AVZ117" s="222"/>
      <c r="AWA117" s="222"/>
      <c r="AWB117" s="222"/>
      <c r="AWC117" s="222"/>
      <c r="AWD117" s="222"/>
      <c r="AWE117" s="222"/>
      <c r="AWF117" s="222"/>
      <c r="AWG117" s="222"/>
      <c r="AWH117" s="222"/>
      <c r="AWI117" s="222"/>
      <c r="AWJ117" s="222"/>
      <c r="AWK117" s="222"/>
      <c r="AWL117" s="222"/>
      <c r="AWM117" s="222"/>
      <c r="AWN117" s="222"/>
      <c r="AWO117" s="222"/>
      <c r="AWP117" s="222"/>
      <c r="AWQ117" s="222"/>
      <c r="AWR117" s="222"/>
      <c r="AWS117" s="222"/>
      <c r="AWT117" s="222"/>
      <c r="AWU117" s="222"/>
      <c r="AWV117" s="222"/>
      <c r="AWW117" s="222"/>
      <c r="AWX117" s="222"/>
      <c r="AWY117" s="222"/>
      <c r="AWZ117" s="222"/>
      <c r="AXA117" s="222"/>
      <c r="AXB117" s="222"/>
      <c r="AXC117" s="222"/>
      <c r="AXD117" s="222"/>
      <c r="AXE117" s="222"/>
      <c r="AXF117" s="222"/>
      <c r="AXG117" s="222"/>
      <c r="AXH117" s="222"/>
      <c r="AXI117" s="222"/>
      <c r="AXJ117" s="222"/>
      <c r="AXK117" s="222"/>
      <c r="AXL117" s="222"/>
      <c r="AXM117" s="222"/>
      <c r="AXN117" s="222"/>
      <c r="AXO117" s="222"/>
      <c r="AXP117" s="222"/>
      <c r="AXQ117" s="222"/>
      <c r="AXR117" s="222"/>
      <c r="AXS117" s="222"/>
      <c r="AXT117" s="222"/>
      <c r="AXU117" s="222"/>
      <c r="AXV117" s="222"/>
      <c r="AXW117" s="222"/>
      <c r="AXX117" s="222"/>
      <c r="AXY117" s="222"/>
      <c r="AXZ117" s="222"/>
      <c r="AYA117" s="222"/>
      <c r="AYB117" s="222"/>
      <c r="AYC117" s="222"/>
      <c r="AYD117" s="222"/>
      <c r="AYE117" s="222"/>
      <c r="AYF117" s="222"/>
      <c r="AYG117" s="222"/>
      <c r="AYH117" s="222"/>
      <c r="AYI117" s="222"/>
      <c r="AYJ117" s="222"/>
      <c r="AYK117" s="222"/>
      <c r="AYL117" s="222"/>
      <c r="AYM117" s="222"/>
      <c r="AYN117" s="222"/>
      <c r="AYO117" s="222"/>
      <c r="AYP117" s="222"/>
      <c r="AYQ117" s="222"/>
      <c r="AYR117" s="222"/>
      <c r="AYS117" s="222"/>
      <c r="AYT117" s="222"/>
      <c r="AYU117" s="222"/>
      <c r="AYV117" s="222"/>
      <c r="AYW117" s="222"/>
      <c r="AYX117" s="222"/>
      <c r="AYY117" s="222"/>
      <c r="AYZ117" s="222"/>
      <c r="AZA117" s="222"/>
      <c r="AZB117" s="222"/>
      <c r="AZC117" s="222"/>
      <c r="AZD117" s="222"/>
      <c r="AZE117" s="222"/>
      <c r="AZF117" s="222"/>
      <c r="AZG117" s="222"/>
      <c r="AZH117" s="222"/>
      <c r="AZI117" s="222"/>
      <c r="AZJ117" s="222"/>
      <c r="AZK117" s="222"/>
      <c r="AZL117" s="222"/>
      <c r="AZM117" s="222"/>
      <c r="AZN117" s="222"/>
      <c r="AZO117" s="222"/>
      <c r="AZP117" s="222"/>
      <c r="AZQ117" s="222"/>
      <c r="AZR117" s="222"/>
      <c r="AZS117" s="222"/>
      <c r="AZT117" s="222"/>
      <c r="AZU117" s="222"/>
      <c r="AZV117" s="222"/>
      <c r="AZW117" s="222"/>
      <c r="AZX117" s="222"/>
      <c r="AZY117" s="222"/>
      <c r="AZZ117" s="222"/>
      <c r="BAA117" s="222"/>
      <c r="BAB117" s="222"/>
      <c r="BAC117" s="222"/>
      <c r="BAD117" s="222"/>
      <c r="BAE117" s="222"/>
      <c r="BAF117" s="222"/>
      <c r="BAG117" s="222"/>
      <c r="BAH117" s="222"/>
      <c r="BAI117" s="222"/>
      <c r="BAJ117" s="222"/>
      <c r="BAK117" s="222"/>
      <c r="BAL117" s="222"/>
      <c r="BAM117" s="222"/>
      <c r="BAN117" s="222"/>
      <c r="BAO117" s="222"/>
      <c r="BAP117" s="222"/>
      <c r="BAQ117" s="222"/>
      <c r="BAR117" s="222"/>
      <c r="BAS117" s="222"/>
      <c r="BAT117" s="222"/>
      <c r="BAU117" s="222"/>
      <c r="BAV117" s="222"/>
      <c r="BAW117" s="222"/>
      <c r="BAX117" s="222"/>
      <c r="BAY117" s="222"/>
      <c r="BAZ117" s="222"/>
      <c r="BBA117" s="222"/>
      <c r="BBB117" s="222"/>
      <c r="BBC117" s="222"/>
      <c r="BBD117" s="222"/>
      <c r="BBE117" s="222"/>
      <c r="BBF117" s="222"/>
      <c r="BBG117" s="222"/>
      <c r="BBH117" s="222"/>
      <c r="BBI117" s="222"/>
      <c r="BBJ117" s="222"/>
      <c r="BBK117" s="222"/>
      <c r="BBL117" s="222"/>
      <c r="BBM117" s="222"/>
      <c r="BBN117" s="222"/>
      <c r="BBO117" s="222"/>
      <c r="BBP117" s="222"/>
      <c r="BBQ117" s="222"/>
      <c r="BBR117" s="222"/>
      <c r="BBS117" s="222"/>
      <c r="BBT117" s="222"/>
      <c r="BBU117" s="222"/>
      <c r="BBV117" s="222"/>
      <c r="BBW117" s="222"/>
      <c r="BBX117" s="222"/>
      <c r="BBY117" s="222"/>
      <c r="BBZ117" s="222"/>
      <c r="BCA117" s="222"/>
      <c r="BCB117" s="222"/>
      <c r="BCC117" s="222"/>
      <c r="BCD117" s="222"/>
      <c r="BCE117" s="222"/>
      <c r="BCF117" s="222"/>
      <c r="BCG117" s="222"/>
      <c r="BCH117" s="222"/>
      <c r="BCI117" s="222"/>
      <c r="BCJ117" s="222"/>
      <c r="BCK117" s="222"/>
      <c r="BCL117" s="222"/>
      <c r="BCM117" s="222"/>
      <c r="BCN117" s="222"/>
      <c r="BCO117" s="222"/>
      <c r="BCP117" s="222"/>
      <c r="BCQ117" s="222"/>
      <c r="BCR117" s="222"/>
      <c r="BCS117" s="222"/>
      <c r="BCT117" s="222"/>
      <c r="BCU117" s="222"/>
      <c r="BCV117" s="222"/>
      <c r="BCW117" s="222"/>
      <c r="BCX117" s="222"/>
      <c r="BCY117" s="222"/>
      <c r="BCZ117" s="222"/>
      <c r="BDA117" s="222"/>
      <c r="BDB117" s="222"/>
      <c r="BDC117" s="222"/>
      <c r="BDD117" s="222"/>
      <c r="BDE117" s="222"/>
      <c r="BDF117" s="222"/>
      <c r="BDG117" s="222"/>
      <c r="BDH117" s="222"/>
      <c r="BDI117" s="222"/>
      <c r="BDJ117" s="222"/>
      <c r="BDK117" s="222"/>
      <c r="BDL117" s="222"/>
      <c r="BDM117" s="222"/>
      <c r="BDN117" s="222"/>
      <c r="BDO117" s="222"/>
      <c r="BDP117" s="222"/>
      <c r="BDQ117" s="222"/>
      <c r="BDR117" s="222"/>
      <c r="BDS117" s="222"/>
      <c r="BDT117" s="222"/>
      <c r="BDU117" s="222"/>
      <c r="BDV117" s="222"/>
      <c r="BDW117" s="222"/>
      <c r="BDX117" s="222"/>
      <c r="BDY117" s="222"/>
      <c r="BDZ117" s="222"/>
      <c r="BEA117" s="222"/>
      <c r="BEB117" s="222"/>
      <c r="BEC117" s="222"/>
      <c r="BED117" s="222"/>
      <c r="BEE117" s="222"/>
      <c r="BEF117" s="222"/>
      <c r="BEG117" s="222"/>
      <c r="BEH117" s="222"/>
      <c r="BEI117" s="222"/>
      <c r="BEJ117" s="222"/>
      <c r="BEK117" s="222"/>
      <c r="BEL117" s="222"/>
      <c r="BEM117" s="222"/>
      <c r="BEN117" s="222"/>
      <c r="BEO117" s="222"/>
      <c r="BEP117" s="222"/>
      <c r="BEQ117" s="222"/>
      <c r="BER117" s="222"/>
      <c r="BES117" s="222"/>
      <c r="BET117" s="222"/>
      <c r="BEU117" s="222"/>
      <c r="BEV117" s="222"/>
      <c r="BEW117" s="222"/>
      <c r="BEX117" s="222"/>
      <c r="BEY117" s="222"/>
      <c r="BEZ117" s="222"/>
      <c r="BFA117" s="222"/>
      <c r="BFB117" s="222"/>
      <c r="BFC117" s="222"/>
      <c r="BFD117" s="222"/>
      <c r="BFE117" s="222"/>
      <c r="BFF117" s="222"/>
      <c r="BFG117" s="222"/>
      <c r="BFH117" s="222"/>
      <c r="BFI117" s="222"/>
      <c r="BFJ117" s="222"/>
      <c r="BFK117" s="222"/>
      <c r="BFL117" s="222"/>
      <c r="BFM117" s="222"/>
      <c r="BFN117" s="222"/>
      <c r="BFO117" s="222"/>
      <c r="BFP117" s="222"/>
      <c r="BFQ117" s="222"/>
      <c r="BFR117" s="222"/>
      <c r="BFS117" s="222"/>
      <c r="BFT117" s="222"/>
      <c r="BFU117" s="222"/>
      <c r="BFV117" s="222"/>
      <c r="BFW117" s="222"/>
      <c r="BFX117" s="222"/>
      <c r="BFY117" s="222"/>
      <c r="BFZ117" s="222"/>
      <c r="BGA117" s="222"/>
      <c r="BGB117" s="222"/>
      <c r="BGC117" s="222"/>
      <c r="BGD117" s="222"/>
      <c r="BGE117" s="222"/>
      <c r="BGF117" s="222"/>
      <c r="BGG117" s="222"/>
      <c r="BGH117" s="222"/>
      <c r="BGI117" s="222"/>
      <c r="BGJ117" s="222"/>
      <c r="BGK117" s="222"/>
      <c r="BGL117" s="222"/>
      <c r="BGM117" s="222"/>
      <c r="BGN117" s="222"/>
      <c r="BGO117" s="222"/>
      <c r="BGP117" s="222"/>
      <c r="BGQ117" s="222"/>
      <c r="BGR117" s="222"/>
      <c r="BGS117" s="222"/>
      <c r="BGT117" s="222"/>
      <c r="BGU117" s="222"/>
      <c r="BGV117" s="222"/>
      <c r="BGW117" s="222"/>
      <c r="BGX117" s="222"/>
      <c r="BGY117" s="222"/>
      <c r="BGZ117" s="222"/>
      <c r="BHA117" s="222"/>
      <c r="BHB117" s="222"/>
      <c r="BHC117" s="222"/>
      <c r="BHD117" s="222"/>
      <c r="BHE117" s="222"/>
      <c r="BHF117" s="222"/>
      <c r="BHG117" s="222"/>
      <c r="BHH117" s="222"/>
      <c r="BHI117" s="222"/>
      <c r="BHJ117" s="222"/>
      <c r="BHK117" s="222"/>
      <c r="BHL117" s="222"/>
      <c r="BHM117" s="222"/>
      <c r="BHN117" s="222"/>
      <c r="BHO117" s="222"/>
      <c r="BHP117" s="222"/>
      <c r="BHQ117" s="222"/>
      <c r="BHR117" s="222"/>
      <c r="BHS117" s="222"/>
      <c r="BHT117" s="222"/>
      <c r="BHU117" s="222"/>
      <c r="BHV117" s="222"/>
      <c r="BHW117" s="222"/>
      <c r="BHX117" s="222"/>
      <c r="BHY117" s="222"/>
      <c r="BHZ117" s="222"/>
      <c r="BIA117" s="222"/>
      <c r="BIB117" s="222"/>
      <c r="BIC117" s="222"/>
      <c r="BID117" s="222"/>
      <c r="BIE117" s="222"/>
      <c r="BIF117" s="222"/>
      <c r="BIG117" s="222"/>
      <c r="BIH117" s="222"/>
      <c r="BII117" s="222"/>
      <c r="BIJ117" s="222"/>
      <c r="BIK117" s="222"/>
      <c r="BIL117" s="222"/>
      <c r="BIM117" s="222"/>
      <c r="BIN117" s="222"/>
      <c r="BIO117" s="222"/>
      <c r="BIP117" s="222"/>
      <c r="BIQ117" s="222"/>
      <c r="BIR117" s="222"/>
      <c r="BIS117" s="222"/>
      <c r="BIT117" s="222"/>
      <c r="BIU117" s="222"/>
      <c r="BIV117" s="222"/>
      <c r="BIW117" s="222"/>
      <c r="BIX117" s="222"/>
      <c r="BIY117" s="222"/>
      <c r="BIZ117" s="222"/>
      <c r="BJA117" s="222"/>
      <c r="BJB117" s="222"/>
      <c r="BJC117" s="222"/>
      <c r="BJD117" s="222"/>
      <c r="BJE117" s="222"/>
      <c r="BJF117" s="222"/>
      <c r="BJG117" s="222"/>
      <c r="BJH117" s="222"/>
      <c r="BJI117" s="222"/>
      <c r="BJJ117" s="222"/>
      <c r="BJK117" s="222"/>
      <c r="BJL117" s="222"/>
      <c r="BJM117" s="222"/>
      <c r="BJN117" s="222"/>
      <c r="BJO117" s="222"/>
      <c r="BJP117" s="222"/>
      <c r="BJQ117" s="222"/>
      <c r="BJR117" s="222"/>
      <c r="BJS117" s="222"/>
      <c r="BJT117" s="222"/>
      <c r="BJU117" s="222"/>
      <c r="BJV117" s="222"/>
      <c r="BJW117" s="222"/>
      <c r="BJX117" s="222"/>
      <c r="BJY117" s="222"/>
      <c r="BJZ117" s="222"/>
      <c r="BKA117" s="222"/>
      <c r="BKB117" s="222"/>
      <c r="BKC117" s="222"/>
      <c r="BKD117" s="222"/>
      <c r="BKE117" s="222"/>
      <c r="BKF117" s="222"/>
      <c r="BKG117" s="222"/>
      <c r="BKH117" s="222"/>
      <c r="BKI117" s="222"/>
      <c r="BKJ117" s="222"/>
      <c r="BKK117" s="222"/>
      <c r="BKL117" s="222"/>
      <c r="BKM117" s="222"/>
      <c r="BKN117" s="222"/>
      <c r="BKO117" s="222"/>
      <c r="BKP117" s="222"/>
      <c r="BKQ117" s="222"/>
      <c r="BKR117" s="222"/>
      <c r="BKS117" s="222"/>
      <c r="BKT117" s="222"/>
      <c r="BKU117" s="222"/>
      <c r="BKV117" s="222"/>
      <c r="BKW117" s="222"/>
      <c r="BKX117" s="222"/>
      <c r="BKY117" s="222"/>
      <c r="BKZ117" s="222"/>
      <c r="BLA117" s="222"/>
      <c r="BLB117" s="222"/>
      <c r="BLC117" s="222"/>
      <c r="BLD117" s="222"/>
      <c r="BLE117" s="222"/>
      <c r="BLF117" s="222"/>
      <c r="BLG117" s="222"/>
      <c r="BLH117" s="222"/>
      <c r="BLI117" s="222"/>
      <c r="BLJ117" s="222"/>
      <c r="BLK117" s="222"/>
      <c r="BLL117" s="222"/>
      <c r="BLM117" s="222"/>
      <c r="BLN117" s="222"/>
      <c r="BLO117" s="222"/>
      <c r="BLP117" s="222"/>
      <c r="BLQ117" s="222"/>
      <c r="BLR117" s="222"/>
      <c r="BLS117" s="222"/>
      <c r="BLT117" s="222"/>
      <c r="BLU117" s="222"/>
      <c r="BLV117" s="222"/>
      <c r="BLW117" s="222"/>
      <c r="BLX117" s="222"/>
      <c r="BLY117" s="222"/>
      <c r="BLZ117" s="222"/>
      <c r="BMA117" s="222"/>
      <c r="BMB117" s="222"/>
      <c r="BMC117" s="222"/>
      <c r="BMD117" s="222"/>
      <c r="BME117" s="222"/>
      <c r="BMF117" s="222"/>
      <c r="BMG117" s="222"/>
      <c r="BMH117" s="222"/>
      <c r="BMI117" s="222"/>
      <c r="BMJ117" s="222"/>
      <c r="BMK117" s="222"/>
      <c r="BML117" s="222"/>
      <c r="BMM117" s="222"/>
      <c r="BMN117" s="222"/>
      <c r="BMO117" s="222"/>
      <c r="BMP117" s="222"/>
      <c r="BMQ117" s="222"/>
      <c r="BMR117" s="222"/>
      <c r="BMS117" s="222"/>
      <c r="BMT117" s="222"/>
      <c r="BMU117" s="222"/>
      <c r="BMV117" s="222"/>
      <c r="BMW117" s="222"/>
      <c r="BMX117" s="222"/>
      <c r="BMY117" s="222"/>
      <c r="BMZ117" s="222"/>
      <c r="BNA117" s="222"/>
      <c r="BNB117" s="222"/>
      <c r="BNC117" s="222"/>
      <c r="BND117" s="222"/>
      <c r="BNE117" s="222"/>
      <c r="BNF117" s="222"/>
      <c r="BNG117" s="222"/>
      <c r="BNH117" s="222"/>
      <c r="BNI117" s="222"/>
      <c r="BNJ117" s="222"/>
      <c r="BNK117" s="222"/>
      <c r="BNL117" s="222"/>
      <c r="BNM117" s="222"/>
      <c r="BNN117" s="222"/>
      <c r="BNO117" s="222"/>
      <c r="BNP117" s="222"/>
      <c r="BNQ117" s="222"/>
      <c r="BNR117" s="222"/>
      <c r="BNS117" s="222"/>
      <c r="BNT117" s="222"/>
      <c r="BNU117" s="222"/>
      <c r="BNV117" s="222"/>
      <c r="BNW117" s="222"/>
      <c r="BNX117" s="222"/>
      <c r="BNY117" s="222"/>
      <c r="BNZ117" s="222"/>
      <c r="BOA117" s="222"/>
      <c r="BOB117" s="222"/>
      <c r="BOC117" s="222"/>
      <c r="BOD117" s="222"/>
      <c r="BOE117" s="222"/>
      <c r="BOF117" s="222"/>
      <c r="BOG117" s="222"/>
      <c r="BOH117" s="222"/>
      <c r="BOI117" s="222"/>
      <c r="BOJ117" s="222"/>
      <c r="BOK117" s="222"/>
      <c r="BOL117" s="222"/>
      <c r="BOM117" s="222"/>
      <c r="BON117" s="222"/>
      <c r="BOO117" s="222"/>
      <c r="BOP117" s="222"/>
      <c r="BOQ117" s="222"/>
      <c r="BOR117" s="222"/>
      <c r="BOS117" s="222"/>
      <c r="BOT117" s="222"/>
      <c r="BOU117" s="222"/>
      <c r="BOV117" s="222"/>
      <c r="BOW117" s="222"/>
      <c r="BOX117" s="222"/>
      <c r="BOY117" s="222"/>
      <c r="BOZ117" s="222"/>
      <c r="BPA117" s="222"/>
      <c r="BPB117" s="222"/>
      <c r="BPC117" s="222"/>
      <c r="BPD117" s="222"/>
      <c r="BPE117" s="222"/>
      <c r="BPF117" s="222"/>
      <c r="BPG117" s="222"/>
      <c r="BPH117" s="222"/>
      <c r="BPI117" s="222"/>
      <c r="BPJ117" s="222"/>
      <c r="BPK117" s="222"/>
      <c r="BPL117" s="222"/>
      <c r="BPM117" s="222"/>
      <c r="BPN117" s="222"/>
      <c r="BPO117" s="222"/>
      <c r="BPP117" s="222"/>
      <c r="BPQ117" s="222"/>
      <c r="BPR117" s="222"/>
      <c r="BPS117" s="222"/>
      <c r="BPT117" s="222"/>
      <c r="BPU117" s="222"/>
      <c r="BPV117" s="222"/>
      <c r="BPW117" s="222"/>
      <c r="BPX117" s="222"/>
      <c r="BPY117" s="222"/>
      <c r="BPZ117" s="222"/>
      <c r="BQA117" s="222"/>
      <c r="BQB117" s="222"/>
      <c r="BQC117" s="222"/>
      <c r="BQD117" s="222"/>
      <c r="BQE117" s="222"/>
      <c r="BQF117" s="222"/>
      <c r="BQG117" s="222"/>
      <c r="BQH117" s="222"/>
      <c r="BQI117" s="222"/>
      <c r="BQJ117" s="222"/>
      <c r="BQK117" s="222"/>
      <c r="BQL117" s="222"/>
      <c r="BQM117" s="222"/>
      <c r="BQN117" s="222"/>
      <c r="BQO117" s="222"/>
      <c r="BQP117" s="222"/>
      <c r="BQQ117" s="222"/>
      <c r="BQR117" s="222"/>
      <c r="BQS117" s="222"/>
      <c r="BQT117" s="222"/>
      <c r="BQU117" s="222"/>
      <c r="BQV117" s="222"/>
      <c r="BQW117" s="222"/>
      <c r="BQX117" s="222"/>
      <c r="BQY117" s="222"/>
      <c r="BQZ117" s="222"/>
      <c r="BRA117" s="222"/>
      <c r="BRB117" s="222"/>
      <c r="BRC117" s="222"/>
      <c r="BRD117" s="222"/>
      <c r="BRE117" s="222"/>
      <c r="BRF117" s="222"/>
      <c r="BRG117" s="222"/>
      <c r="BRH117" s="222"/>
      <c r="BRI117" s="222"/>
      <c r="BRJ117" s="222"/>
      <c r="BRK117" s="222"/>
      <c r="BRL117" s="222"/>
      <c r="BRM117" s="222"/>
      <c r="BRN117" s="222"/>
      <c r="BRO117" s="222"/>
      <c r="BRP117" s="222"/>
      <c r="BRQ117" s="222"/>
      <c r="BRR117" s="222"/>
      <c r="BRS117" s="222"/>
      <c r="BRT117" s="222"/>
      <c r="BRU117" s="222"/>
      <c r="BRV117" s="222"/>
      <c r="BRW117" s="222"/>
      <c r="BRX117" s="222"/>
      <c r="BRY117" s="222"/>
      <c r="BRZ117" s="222"/>
      <c r="BSA117" s="222"/>
      <c r="BSB117" s="222"/>
      <c r="BSC117" s="222"/>
      <c r="BSD117" s="222"/>
      <c r="BSE117" s="222"/>
      <c r="BSF117" s="222"/>
      <c r="BSG117" s="222"/>
      <c r="BSH117" s="222"/>
      <c r="BSI117" s="222"/>
      <c r="BSJ117" s="222"/>
      <c r="BSK117" s="222"/>
      <c r="BSL117" s="222"/>
      <c r="BSM117" s="222"/>
      <c r="BSN117" s="222"/>
      <c r="BSO117" s="222"/>
      <c r="BSP117" s="222"/>
      <c r="BSQ117" s="222"/>
      <c r="BSR117" s="222"/>
      <c r="BSS117" s="222"/>
      <c r="BST117" s="222"/>
      <c r="BSU117" s="222"/>
      <c r="BSV117" s="222"/>
      <c r="BSW117" s="222"/>
      <c r="BSX117" s="222"/>
      <c r="BSY117" s="222"/>
      <c r="BSZ117" s="222"/>
      <c r="BTA117" s="222"/>
      <c r="BTB117" s="222"/>
      <c r="BTC117" s="222"/>
      <c r="BTD117" s="222"/>
      <c r="BTE117" s="222"/>
      <c r="BTF117" s="222"/>
      <c r="BTG117" s="222"/>
      <c r="BTH117" s="222"/>
      <c r="BTI117" s="222"/>
      <c r="BTJ117" s="222"/>
      <c r="BTK117" s="222"/>
      <c r="BTL117" s="222"/>
      <c r="BTM117" s="222"/>
      <c r="BTN117" s="222"/>
      <c r="BTO117" s="222"/>
      <c r="BTP117" s="222"/>
      <c r="BTQ117" s="222"/>
      <c r="BTR117" s="222"/>
      <c r="BTS117" s="222"/>
      <c r="BTT117" s="222"/>
      <c r="BTU117" s="222"/>
      <c r="BTV117" s="222"/>
      <c r="BTW117" s="222"/>
      <c r="BTX117" s="222"/>
      <c r="BTY117" s="222"/>
      <c r="BTZ117" s="222"/>
      <c r="BUA117" s="222"/>
      <c r="BUB117" s="222"/>
      <c r="BUC117" s="222"/>
      <c r="BUD117" s="222"/>
      <c r="BUE117" s="222"/>
      <c r="BUF117" s="222"/>
      <c r="BUG117" s="222"/>
      <c r="BUH117" s="222"/>
      <c r="BUI117" s="222"/>
      <c r="BUJ117" s="222"/>
      <c r="BUK117" s="222"/>
      <c r="BUL117" s="222"/>
      <c r="BUM117" s="222"/>
      <c r="BUN117" s="222"/>
      <c r="BUO117" s="222"/>
      <c r="BUP117" s="222"/>
      <c r="BUQ117" s="222"/>
      <c r="BUR117" s="222"/>
      <c r="BUS117" s="222"/>
      <c r="BUT117" s="222"/>
      <c r="BUU117" s="222"/>
      <c r="BUV117" s="222"/>
      <c r="BUW117" s="222"/>
      <c r="BUX117" s="222"/>
      <c r="BUY117" s="222"/>
      <c r="BUZ117" s="222"/>
      <c r="BVA117" s="222"/>
      <c r="BVB117" s="222"/>
      <c r="BVC117" s="222"/>
      <c r="BVD117" s="222"/>
      <c r="BVE117" s="222"/>
      <c r="BVF117" s="222"/>
      <c r="BVG117" s="222"/>
      <c r="BVH117" s="222"/>
      <c r="BVI117" s="222"/>
      <c r="BVJ117" s="222"/>
      <c r="BVK117" s="222"/>
      <c r="BVL117" s="222"/>
      <c r="BVM117" s="222"/>
      <c r="BVN117" s="222"/>
      <c r="BVO117" s="222"/>
      <c r="BVP117" s="222"/>
      <c r="BVQ117" s="222"/>
      <c r="BVR117" s="222"/>
      <c r="BVS117" s="222"/>
      <c r="BVT117" s="222"/>
      <c r="BVU117" s="222"/>
      <c r="BVV117" s="222"/>
      <c r="BVW117" s="222"/>
      <c r="BVX117" s="222"/>
      <c r="BVY117" s="222"/>
      <c r="BVZ117" s="222"/>
      <c r="BWA117" s="222"/>
      <c r="BWB117" s="222"/>
      <c r="BWC117" s="222"/>
      <c r="BWD117" s="222"/>
      <c r="BWE117" s="222"/>
      <c r="BWF117" s="222"/>
      <c r="BWG117" s="222"/>
      <c r="BWH117" s="222"/>
      <c r="BWI117" s="222"/>
      <c r="BWJ117" s="222"/>
      <c r="BWK117" s="222"/>
      <c r="BWL117" s="222"/>
      <c r="BWM117" s="222"/>
      <c r="BWN117" s="222"/>
      <c r="BWO117" s="222"/>
      <c r="BWP117" s="222"/>
      <c r="BWQ117" s="222"/>
      <c r="BWR117" s="222"/>
      <c r="BWS117" s="222"/>
      <c r="BWT117" s="222"/>
      <c r="BWU117" s="222"/>
      <c r="BWV117" s="222"/>
      <c r="BWW117" s="222"/>
      <c r="BWX117" s="222"/>
      <c r="BWY117" s="222"/>
      <c r="BWZ117" s="222"/>
      <c r="BXA117" s="222"/>
      <c r="BXB117" s="222"/>
      <c r="BXC117" s="222"/>
      <c r="BXD117" s="222"/>
      <c r="BXE117" s="222"/>
      <c r="BXF117" s="222"/>
      <c r="BXG117" s="222"/>
      <c r="BXH117" s="222"/>
      <c r="BXI117" s="222"/>
      <c r="BXJ117" s="222"/>
      <c r="BXK117" s="222"/>
      <c r="BXL117" s="222"/>
      <c r="BXM117" s="222"/>
      <c r="BXN117" s="222"/>
      <c r="BXO117" s="222"/>
      <c r="BXP117" s="222"/>
      <c r="BXQ117" s="222"/>
      <c r="BXR117" s="222"/>
      <c r="BXS117" s="222"/>
      <c r="BXT117" s="222"/>
      <c r="BXU117" s="222"/>
      <c r="BXV117" s="222"/>
      <c r="BXW117" s="222"/>
      <c r="BXX117" s="222"/>
      <c r="BXY117" s="222"/>
      <c r="BXZ117" s="222"/>
      <c r="BYA117" s="222"/>
      <c r="BYB117" s="222"/>
      <c r="BYC117" s="222"/>
      <c r="BYD117" s="222"/>
      <c r="BYE117" s="222"/>
      <c r="BYF117" s="222"/>
      <c r="BYG117" s="222"/>
      <c r="BYH117" s="222"/>
      <c r="BYI117" s="222"/>
      <c r="BYJ117" s="222"/>
      <c r="BYK117" s="222"/>
      <c r="BYL117" s="222"/>
      <c r="BYM117" s="222"/>
      <c r="BYN117" s="222"/>
      <c r="BYO117" s="222"/>
      <c r="BYP117" s="222"/>
      <c r="BYQ117" s="222"/>
      <c r="BYR117" s="222"/>
      <c r="BYS117" s="222"/>
      <c r="BYT117" s="222"/>
      <c r="BYU117" s="222"/>
      <c r="BYV117" s="222"/>
      <c r="BYW117" s="222"/>
      <c r="BYX117" s="222"/>
      <c r="BYY117" s="222"/>
      <c r="BYZ117" s="222"/>
      <c r="BZA117" s="222"/>
      <c r="BZB117" s="222"/>
      <c r="BZC117" s="222"/>
      <c r="BZD117" s="222"/>
      <c r="BZE117" s="222"/>
      <c r="BZF117" s="222"/>
      <c r="BZG117" s="222"/>
      <c r="BZH117" s="222"/>
      <c r="BZI117" s="222"/>
      <c r="BZJ117" s="222"/>
      <c r="BZK117" s="222"/>
      <c r="BZL117" s="222"/>
      <c r="BZM117" s="222"/>
      <c r="BZN117" s="222"/>
      <c r="BZO117" s="222"/>
      <c r="BZP117" s="222"/>
      <c r="BZQ117" s="222"/>
      <c r="BZR117" s="222"/>
      <c r="BZS117" s="222"/>
      <c r="BZT117" s="222"/>
      <c r="BZU117" s="222"/>
      <c r="BZV117" s="222"/>
      <c r="BZW117" s="222"/>
      <c r="BZX117" s="222"/>
      <c r="BZY117" s="222"/>
      <c r="BZZ117" s="222"/>
      <c r="CAA117" s="222"/>
      <c r="CAB117" s="222"/>
      <c r="CAC117" s="222"/>
      <c r="CAD117" s="222"/>
      <c r="CAE117" s="222"/>
      <c r="CAF117" s="222"/>
      <c r="CAG117" s="222"/>
      <c r="CAH117" s="222"/>
      <c r="CAI117" s="222"/>
      <c r="CAJ117" s="222"/>
      <c r="CAK117" s="222"/>
      <c r="CAL117" s="222"/>
      <c r="CAM117" s="222"/>
      <c r="CAN117" s="222"/>
      <c r="CAO117" s="222"/>
      <c r="CAP117" s="222"/>
      <c r="CAQ117" s="222"/>
      <c r="CAR117" s="222"/>
      <c r="CAS117" s="222"/>
      <c r="CAT117" s="222"/>
      <c r="CAU117" s="222"/>
      <c r="CAV117" s="222"/>
      <c r="CAW117" s="222"/>
      <c r="CAX117" s="222"/>
      <c r="CAY117" s="222"/>
      <c r="CAZ117" s="222"/>
      <c r="CBA117" s="222"/>
      <c r="CBB117" s="222"/>
      <c r="CBC117" s="222"/>
      <c r="CBD117" s="222"/>
      <c r="CBE117" s="222"/>
      <c r="CBF117" s="222"/>
      <c r="CBG117" s="222"/>
      <c r="CBH117" s="222"/>
      <c r="CBI117" s="222"/>
      <c r="CBJ117" s="222"/>
      <c r="CBK117" s="222"/>
      <c r="CBL117" s="222"/>
      <c r="CBM117" s="222"/>
      <c r="CBN117" s="222"/>
      <c r="CBO117" s="222"/>
      <c r="CBP117" s="222"/>
      <c r="CBQ117" s="222"/>
      <c r="CBR117" s="222"/>
      <c r="CBS117" s="222"/>
      <c r="CBT117" s="222"/>
      <c r="CBU117" s="222"/>
      <c r="CBV117" s="222"/>
      <c r="CBW117" s="222"/>
      <c r="CBX117" s="222"/>
      <c r="CBY117" s="222"/>
      <c r="CBZ117" s="222"/>
      <c r="CCA117" s="222"/>
      <c r="CCB117" s="222"/>
      <c r="CCC117" s="222"/>
      <c r="CCD117" s="222"/>
      <c r="CCE117" s="222"/>
      <c r="CCF117" s="222"/>
      <c r="CCG117" s="222"/>
      <c r="CCH117" s="222"/>
      <c r="CCI117" s="222"/>
      <c r="CCJ117" s="222"/>
      <c r="CCK117" s="222"/>
      <c r="CCL117" s="222"/>
      <c r="CCM117" s="222"/>
      <c r="CCN117" s="222"/>
      <c r="CCO117" s="222"/>
      <c r="CCP117" s="222"/>
      <c r="CCQ117" s="222"/>
      <c r="CCR117" s="222"/>
      <c r="CCS117" s="222"/>
      <c r="CCT117" s="222"/>
      <c r="CCU117" s="222"/>
      <c r="CCV117" s="222"/>
      <c r="CCW117" s="222"/>
      <c r="CCX117" s="222"/>
      <c r="CCY117" s="222"/>
      <c r="CCZ117" s="222"/>
      <c r="CDA117" s="222"/>
      <c r="CDB117" s="222"/>
      <c r="CDC117" s="222"/>
      <c r="CDD117" s="222"/>
      <c r="CDE117" s="222"/>
      <c r="CDF117" s="222"/>
      <c r="CDG117" s="222"/>
      <c r="CDH117" s="222"/>
      <c r="CDI117" s="222"/>
      <c r="CDJ117" s="222"/>
      <c r="CDK117" s="222"/>
      <c r="CDL117" s="222"/>
      <c r="CDM117" s="222"/>
      <c r="CDN117" s="222"/>
      <c r="CDO117" s="222"/>
      <c r="CDP117" s="222"/>
      <c r="CDQ117" s="222"/>
      <c r="CDR117" s="222"/>
      <c r="CDS117" s="222"/>
      <c r="CDT117" s="222"/>
      <c r="CDU117" s="222"/>
      <c r="CDV117" s="222"/>
      <c r="CDW117" s="222"/>
      <c r="CDX117" s="222"/>
      <c r="CDY117" s="222"/>
      <c r="CDZ117" s="222"/>
      <c r="CEA117" s="222"/>
      <c r="CEB117" s="222"/>
      <c r="CEC117" s="222"/>
      <c r="CED117" s="222"/>
      <c r="CEE117" s="222"/>
      <c r="CEF117" s="222"/>
      <c r="CEG117" s="222"/>
      <c r="CEH117" s="222"/>
      <c r="CEI117" s="222"/>
      <c r="CEJ117" s="222"/>
      <c r="CEK117" s="222"/>
      <c r="CEL117" s="222"/>
      <c r="CEM117" s="222"/>
      <c r="CEN117" s="222"/>
      <c r="CEO117" s="222"/>
      <c r="CEP117" s="222"/>
      <c r="CEQ117" s="222"/>
      <c r="CER117" s="222"/>
      <c r="CES117" s="222"/>
      <c r="CET117" s="222"/>
      <c r="CEU117" s="222"/>
      <c r="CEV117" s="222"/>
      <c r="CEW117" s="222"/>
      <c r="CEX117" s="222"/>
      <c r="CEY117" s="222"/>
      <c r="CEZ117" s="222"/>
      <c r="CFA117" s="222"/>
      <c r="CFB117" s="222"/>
      <c r="CFC117" s="222"/>
      <c r="CFD117" s="222"/>
      <c r="CFE117" s="222"/>
      <c r="CFF117" s="222"/>
      <c r="CFG117" s="222"/>
      <c r="CFH117" s="222"/>
      <c r="CFI117" s="222"/>
      <c r="CFJ117" s="222"/>
      <c r="CFK117" s="222"/>
      <c r="CFL117" s="222"/>
      <c r="CFM117" s="222"/>
      <c r="CFN117" s="222"/>
      <c r="CFO117" s="222"/>
      <c r="CFP117" s="222"/>
      <c r="CFQ117" s="222"/>
      <c r="CFR117" s="222"/>
      <c r="CFS117" s="222"/>
      <c r="CFT117" s="222"/>
      <c r="CFU117" s="222"/>
      <c r="CFV117" s="222"/>
      <c r="CFW117" s="222"/>
      <c r="CFX117" s="222"/>
      <c r="CFY117" s="222"/>
      <c r="CFZ117" s="222"/>
      <c r="CGA117" s="222"/>
      <c r="CGB117" s="222"/>
      <c r="CGC117" s="222"/>
      <c r="CGD117" s="222"/>
      <c r="CGE117" s="222"/>
      <c r="CGF117" s="222"/>
      <c r="CGG117" s="222"/>
      <c r="CGH117" s="222"/>
      <c r="CGI117" s="222"/>
      <c r="CGJ117" s="222"/>
      <c r="CGK117" s="222"/>
      <c r="CGL117" s="222"/>
      <c r="CGM117" s="222"/>
      <c r="CGN117" s="222"/>
      <c r="CGO117" s="222"/>
      <c r="CGP117" s="222"/>
      <c r="CGQ117" s="222"/>
      <c r="CGR117" s="222"/>
      <c r="CGS117" s="222"/>
      <c r="CGT117" s="222"/>
      <c r="CGU117" s="222"/>
      <c r="CGV117" s="222"/>
      <c r="CGW117" s="222"/>
      <c r="CGX117" s="222"/>
      <c r="CGY117" s="222"/>
      <c r="CGZ117" s="222"/>
      <c r="CHA117" s="222"/>
      <c r="CHB117" s="222"/>
      <c r="CHC117" s="222"/>
      <c r="CHD117" s="222"/>
      <c r="CHE117" s="222"/>
      <c r="CHF117" s="222"/>
      <c r="CHG117" s="222"/>
      <c r="CHH117" s="222"/>
      <c r="CHI117" s="222"/>
      <c r="CHJ117" s="222"/>
      <c r="CHK117" s="222"/>
      <c r="CHL117" s="222"/>
      <c r="CHM117" s="222"/>
      <c r="CHN117" s="222"/>
      <c r="CHO117" s="222"/>
      <c r="CHP117" s="222"/>
      <c r="CHQ117" s="222"/>
      <c r="CHR117" s="222"/>
      <c r="CHS117" s="222"/>
      <c r="CHT117" s="222"/>
      <c r="CHU117" s="222"/>
      <c r="CHV117" s="222"/>
      <c r="CHW117" s="222"/>
      <c r="CHX117" s="222"/>
      <c r="CHY117" s="222"/>
      <c r="CHZ117" s="222"/>
      <c r="CIA117" s="222"/>
      <c r="CIB117" s="222"/>
      <c r="CIC117" s="222"/>
      <c r="CID117" s="222"/>
      <c r="CIE117" s="222"/>
      <c r="CIF117" s="222"/>
      <c r="CIG117" s="222"/>
      <c r="CIH117" s="222"/>
      <c r="CII117" s="222"/>
      <c r="CIJ117" s="222"/>
      <c r="CIK117" s="222"/>
      <c r="CIL117" s="222"/>
      <c r="CIM117" s="222"/>
      <c r="CIN117" s="222"/>
      <c r="CIO117" s="222"/>
      <c r="CIP117" s="222"/>
      <c r="CIQ117" s="222"/>
      <c r="CIR117" s="222"/>
      <c r="CIS117" s="222"/>
      <c r="CIT117" s="222"/>
      <c r="CIU117" s="222"/>
      <c r="CIV117" s="222"/>
      <c r="CIW117" s="222"/>
      <c r="CIX117" s="222"/>
      <c r="CIY117" s="222"/>
      <c r="CIZ117" s="222"/>
      <c r="CJA117" s="222"/>
      <c r="CJB117" s="222"/>
      <c r="CJC117" s="222"/>
      <c r="CJD117" s="222"/>
      <c r="CJE117" s="222"/>
      <c r="CJF117" s="222"/>
      <c r="CJG117" s="222"/>
      <c r="CJH117" s="222"/>
      <c r="CJI117" s="222"/>
      <c r="CJJ117" s="222"/>
      <c r="CJK117" s="222"/>
      <c r="CJL117" s="222"/>
      <c r="CJM117" s="222"/>
      <c r="CJN117" s="222"/>
      <c r="CJO117" s="222"/>
      <c r="CJP117" s="222"/>
      <c r="CJQ117" s="222"/>
      <c r="CJR117" s="222"/>
      <c r="CJS117" s="222"/>
      <c r="CJT117" s="222"/>
      <c r="CJU117" s="222"/>
      <c r="CJV117" s="222"/>
      <c r="CJW117" s="222"/>
      <c r="CJX117" s="222"/>
      <c r="CJY117" s="222"/>
      <c r="CJZ117" s="222"/>
      <c r="CKA117" s="222"/>
      <c r="CKB117" s="222"/>
      <c r="CKC117" s="222"/>
      <c r="CKD117" s="222"/>
      <c r="CKE117" s="222"/>
      <c r="CKF117" s="222"/>
      <c r="CKG117" s="222"/>
      <c r="CKH117" s="222"/>
      <c r="CKI117" s="222"/>
      <c r="CKJ117" s="222"/>
      <c r="CKK117" s="222"/>
      <c r="CKL117" s="222"/>
      <c r="CKM117" s="222"/>
      <c r="CKN117" s="222"/>
      <c r="CKO117" s="222"/>
      <c r="CKP117" s="222"/>
      <c r="CKQ117" s="222"/>
      <c r="CKR117" s="222"/>
      <c r="CKS117" s="222"/>
      <c r="CKT117" s="222"/>
      <c r="CKU117" s="222"/>
      <c r="CKV117" s="222"/>
      <c r="CKW117" s="222"/>
      <c r="CKX117" s="222"/>
      <c r="CKY117" s="222"/>
      <c r="CKZ117" s="222"/>
      <c r="CLA117" s="222"/>
      <c r="CLB117" s="222"/>
      <c r="CLC117" s="222"/>
      <c r="CLD117" s="222"/>
      <c r="CLE117" s="222"/>
      <c r="CLF117" s="222"/>
      <c r="CLG117" s="222"/>
      <c r="CLH117" s="222"/>
      <c r="CLI117" s="222"/>
      <c r="CLJ117" s="222"/>
      <c r="CLK117" s="222"/>
      <c r="CLL117" s="222"/>
      <c r="CLM117" s="222"/>
      <c r="CLN117" s="222"/>
      <c r="CLO117" s="222"/>
      <c r="CLP117" s="222"/>
      <c r="CLQ117" s="222"/>
      <c r="CLR117" s="222"/>
      <c r="CLS117" s="222"/>
      <c r="CLT117" s="222"/>
      <c r="CLU117" s="222"/>
      <c r="CLV117" s="222"/>
      <c r="CLW117" s="222"/>
      <c r="CLX117" s="222"/>
      <c r="CLY117" s="222"/>
      <c r="CLZ117" s="222"/>
      <c r="CMA117" s="222"/>
      <c r="CMB117" s="222"/>
      <c r="CMC117" s="222"/>
      <c r="CMD117" s="222"/>
      <c r="CME117" s="222"/>
      <c r="CMF117" s="222"/>
      <c r="CMG117" s="222"/>
      <c r="CMH117" s="222"/>
      <c r="CMI117" s="222"/>
      <c r="CMJ117" s="222"/>
      <c r="CMK117" s="222"/>
      <c r="CML117" s="222"/>
      <c r="CMM117" s="222"/>
      <c r="CMN117" s="222"/>
      <c r="CMO117" s="222"/>
      <c r="CMP117" s="222"/>
      <c r="CMQ117" s="222"/>
      <c r="CMR117" s="222"/>
      <c r="CMS117" s="222"/>
      <c r="CMT117" s="222"/>
      <c r="CMU117" s="222"/>
      <c r="CMV117" s="222"/>
      <c r="CMW117" s="222"/>
      <c r="CMX117" s="222"/>
      <c r="CMY117" s="222"/>
      <c r="CMZ117" s="222"/>
      <c r="CNA117" s="222"/>
      <c r="CNB117" s="222"/>
      <c r="CNC117" s="222"/>
      <c r="CND117" s="222"/>
      <c r="CNE117" s="222"/>
      <c r="CNF117" s="222"/>
      <c r="CNG117" s="222"/>
      <c r="CNH117" s="222"/>
      <c r="CNI117" s="222"/>
      <c r="CNJ117" s="222"/>
      <c r="CNK117" s="222"/>
      <c r="CNL117" s="222"/>
      <c r="CNM117" s="222"/>
      <c r="CNN117" s="222"/>
      <c r="CNO117" s="222"/>
      <c r="CNP117" s="222"/>
      <c r="CNQ117" s="222"/>
      <c r="CNR117" s="222"/>
      <c r="CNS117" s="222"/>
      <c r="CNT117" s="222"/>
      <c r="CNU117" s="222"/>
      <c r="CNV117" s="222"/>
      <c r="CNW117" s="222"/>
      <c r="CNX117" s="222"/>
      <c r="CNY117" s="222"/>
      <c r="CNZ117" s="222"/>
      <c r="COA117" s="222"/>
      <c r="COB117" s="222"/>
      <c r="COC117" s="222"/>
      <c r="COD117" s="222"/>
      <c r="COE117" s="222"/>
      <c r="COF117" s="222"/>
      <c r="COG117" s="222"/>
      <c r="COH117" s="222"/>
      <c r="COI117" s="222"/>
      <c r="COJ117" s="222"/>
      <c r="COK117" s="222"/>
      <c r="COL117" s="222"/>
      <c r="COM117" s="222"/>
      <c r="CON117" s="222"/>
      <c r="COO117" s="222"/>
      <c r="COP117" s="222"/>
      <c r="COQ117" s="222"/>
      <c r="COR117" s="222"/>
      <c r="COS117" s="222"/>
      <c r="COT117" s="222"/>
      <c r="COU117" s="222"/>
      <c r="COV117" s="222"/>
      <c r="COW117" s="222"/>
      <c r="COX117" s="222"/>
      <c r="COY117" s="222"/>
      <c r="COZ117" s="222"/>
      <c r="CPA117" s="222"/>
      <c r="CPB117" s="222"/>
      <c r="CPC117" s="222"/>
      <c r="CPD117" s="222"/>
      <c r="CPE117" s="222"/>
      <c r="CPF117" s="222"/>
      <c r="CPG117" s="222"/>
      <c r="CPH117" s="222"/>
      <c r="CPI117" s="222"/>
      <c r="CPJ117" s="222"/>
      <c r="CPK117" s="222"/>
      <c r="CPL117" s="222"/>
      <c r="CPM117" s="222"/>
      <c r="CPN117" s="222"/>
      <c r="CPO117" s="222"/>
      <c r="CPP117" s="222"/>
      <c r="CPQ117" s="222"/>
      <c r="CPR117" s="222"/>
      <c r="CPS117" s="222"/>
      <c r="CPT117" s="222"/>
      <c r="CPU117" s="222"/>
      <c r="CPV117" s="222"/>
      <c r="CPW117" s="222"/>
      <c r="CPX117" s="222"/>
      <c r="CPY117" s="222"/>
      <c r="CPZ117" s="222"/>
      <c r="CQA117" s="222"/>
      <c r="CQB117" s="222"/>
      <c r="CQC117" s="222"/>
      <c r="CQD117" s="222"/>
      <c r="CQE117" s="222"/>
      <c r="CQF117" s="222"/>
      <c r="CQG117" s="222"/>
      <c r="CQH117" s="222"/>
      <c r="CQI117" s="222"/>
      <c r="CQJ117" s="222"/>
      <c r="CQK117" s="222"/>
      <c r="CQL117" s="222"/>
      <c r="CQM117" s="222"/>
      <c r="CQN117" s="222"/>
      <c r="CQO117" s="222"/>
      <c r="CQP117" s="222"/>
      <c r="CQQ117" s="222"/>
      <c r="CQR117" s="222"/>
      <c r="CQS117" s="222"/>
      <c r="CQT117" s="222"/>
      <c r="CQU117" s="222"/>
      <c r="CQV117" s="222"/>
      <c r="CQW117" s="222"/>
      <c r="CQX117" s="222"/>
      <c r="CQY117" s="222"/>
      <c r="CQZ117" s="222"/>
      <c r="CRA117" s="222"/>
      <c r="CRB117" s="222"/>
      <c r="CRC117" s="222"/>
      <c r="CRD117" s="222"/>
      <c r="CRE117" s="222"/>
      <c r="CRF117" s="222"/>
      <c r="CRG117" s="222"/>
      <c r="CRH117" s="222"/>
      <c r="CRI117" s="222"/>
      <c r="CRJ117" s="222"/>
      <c r="CRK117" s="222"/>
      <c r="CRL117" s="222"/>
      <c r="CRM117" s="222"/>
      <c r="CRN117" s="222"/>
      <c r="CRO117" s="222"/>
      <c r="CRP117" s="222"/>
      <c r="CRQ117" s="222"/>
      <c r="CRR117" s="222"/>
      <c r="CRS117" s="222"/>
      <c r="CRT117" s="222"/>
      <c r="CRU117" s="222"/>
      <c r="CRV117" s="222"/>
      <c r="CRW117" s="222"/>
      <c r="CRX117" s="222"/>
      <c r="CRY117" s="222"/>
      <c r="CRZ117" s="222"/>
      <c r="CSA117" s="222"/>
      <c r="CSB117" s="222"/>
      <c r="CSC117" s="222"/>
      <c r="CSD117" s="222"/>
      <c r="CSE117" s="222"/>
      <c r="CSF117" s="222"/>
      <c r="CSG117" s="222"/>
      <c r="CSH117" s="222"/>
      <c r="CSI117" s="222"/>
      <c r="CSJ117" s="222"/>
      <c r="CSK117" s="222"/>
      <c r="CSL117" s="222"/>
      <c r="CSM117" s="222"/>
      <c r="CSN117" s="222"/>
      <c r="CSO117" s="222"/>
      <c r="CSP117" s="222"/>
      <c r="CSQ117" s="222"/>
      <c r="CSR117" s="222"/>
      <c r="CSS117" s="222"/>
      <c r="CST117" s="222"/>
      <c r="CSU117" s="222"/>
      <c r="CSV117" s="222"/>
      <c r="CSW117" s="222"/>
      <c r="CSX117" s="222"/>
      <c r="CSY117" s="222"/>
      <c r="CSZ117" s="222"/>
      <c r="CTA117" s="222"/>
      <c r="CTB117" s="222"/>
      <c r="CTC117" s="222"/>
      <c r="CTD117" s="222"/>
      <c r="CTE117" s="222"/>
      <c r="CTF117" s="222"/>
      <c r="CTG117" s="222"/>
      <c r="CTH117" s="222"/>
      <c r="CTI117" s="222"/>
      <c r="CTJ117" s="222"/>
      <c r="CTK117" s="222"/>
      <c r="CTL117" s="222"/>
      <c r="CTM117" s="222"/>
      <c r="CTN117" s="222"/>
      <c r="CTO117" s="222"/>
      <c r="CTP117" s="222"/>
      <c r="CTQ117" s="222"/>
      <c r="CTR117" s="222"/>
      <c r="CTS117" s="222"/>
      <c r="CTT117" s="222"/>
      <c r="CTU117" s="222"/>
      <c r="CTV117" s="222"/>
      <c r="CTW117" s="222"/>
      <c r="CTX117" s="222"/>
      <c r="CTY117" s="222"/>
      <c r="CTZ117" s="222"/>
      <c r="CUA117" s="222"/>
      <c r="CUB117" s="222"/>
      <c r="CUC117" s="222"/>
      <c r="CUD117" s="222"/>
      <c r="CUE117" s="222"/>
      <c r="CUF117" s="222"/>
      <c r="CUG117" s="222"/>
      <c r="CUH117" s="222"/>
      <c r="CUI117" s="222"/>
      <c r="CUJ117" s="222"/>
      <c r="CUK117" s="222"/>
      <c r="CUL117" s="222"/>
      <c r="CUM117" s="222"/>
      <c r="CUN117" s="222"/>
      <c r="CUO117" s="222"/>
      <c r="CUP117" s="222"/>
      <c r="CUQ117" s="222"/>
      <c r="CUR117" s="222"/>
      <c r="CUS117" s="222"/>
      <c r="CUT117" s="222"/>
      <c r="CUU117" s="222"/>
      <c r="CUV117" s="222"/>
      <c r="CUW117" s="222"/>
      <c r="CUX117" s="222"/>
      <c r="CUY117" s="222"/>
      <c r="CUZ117" s="222"/>
      <c r="CVA117" s="222"/>
      <c r="CVB117" s="222"/>
      <c r="CVC117" s="222"/>
      <c r="CVD117" s="222"/>
      <c r="CVE117" s="222"/>
      <c r="CVF117" s="222"/>
      <c r="CVG117" s="222"/>
      <c r="CVH117" s="222"/>
      <c r="CVI117" s="222"/>
      <c r="CVJ117" s="222"/>
      <c r="CVK117" s="222"/>
      <c r="CVL117" s="222"/>
      <c r="CVM117" s="222"/>
      <c r="CVN117" s="222"/>
      <c r="CVO117" s="222"/>
      <c r="CVP117" s="222"/>
      <c r="CVQ117" s="222"/>
      <c r="CVR117" s="222"/>
      <c r="CVS117" s="222"/>
      <c r="CVT117" s="222"/>
      <c r="CVU117" s="222"/>
      <c r="CVV117" s="222"/>
      <c r="CVW117" s="222"/>
      <c r="CVX117" s="222"/>
      <c r="CVY117" s="222"/>
      <c r="CVZ117" s="222"/>
      <c r="CWA117" s="222"/>
      <c r="CWB117" s="222"/>
      <c r="CWC117" s="222"/>
      <c r="CWD117" s="222"/>
      <c r="CWE117" s="222"/>
      <c r="CWF117" s="222"/>
      <c r="CWG117" s="222"/>
      <c r="CWH117" s="222"/>
      <c r="CWI117" s="222"/>
      <c r="CWJ117" s="222"/>
      <c r="CWK117" s="222"/>
      <c r="CWL117" s="222"/>
      <c r="CWM117" s="222"/>
      <c r="CWN117" s="222"/>
      <c r="CWO117" s="222"/>
      <c r="CWP117" s="222"/>
      <c r="CWQ117" s="222"/>
      <c r="CWR117" s="222"/>
      <c r="CWS117" s="222"/>
      <c r="CWT117" s="222"/>
      <c r="CWU117" s="222"/>
      <c r="CWV117" s="222"/>
      <c r="CWW117" s="222"/>
      <c r="CWX117" s="222"/>
      <c r="CWY117" s="222"/>
      <c r="CWZ117" s="222"/>
      <c r="CXA117" s="222"/>
      <c r="CXB117" s="222"/>
      <c r="CXC117" s="222"/>
      <c r="CXD117" s="222"/>
      <c r="CXE117" s="222"/>
      <c r="CXF117" s="222"/>
      <c r="CXG117" s="222"/>
      <c r="CXH117" s="222"/>
      <c r="CXI117" s="222"/>
      <c r="CXJ117" s="222"/>
      <c r="CXK117" s="222"/>
      <c r="CXL117" s="222"/>
      <c r="CXM117" s="222"/>
      <c r="CXN117" s="222"/>
      <c r="CXO117" s="222"/>
      <c r="CXP117" s="222"/>
      <c r="CXQ117" s="222"/>
      <c r="CXR117" s="222"/>
      <c r="CXS117" s="222"/>
      <c r="CXT117" s="222"/>
      <c r="CXU117" s="222"/>
      <c r="CXV117" s="222"/>
      <c r="CXW117" s="222"/>
      <c r="CXX117" s="222"/>
      <c r="CXY117" s="222"/>
      <c r="CXZ117" s="222"/>
      <c r="CYA117" s="222"/>
      <c r="CYB117" s="222"/>
      <c r="CYC117" s="222"/>
      <c r="CYD117" s="222"/>
      <c r="CYE117" s="222"/>
      <c r="CYF117" s="222"/>
      <c r="CYG117" s="222"/>
      <c r="CYH117" s="222"/>
      <c r="CYI117" s="222"/>
      <c r="CYJ117" s="222"/>
      <c r="CYK117" s="222"/>
      <c r="CYL117" s="222"/>
      <c r="CYM117" s="222"/>
      <c r="CYN117" s="222"/>
      <c r="CYO117" s="222"/>
      <c r="CYP117" s="222"/>
      <c r="CYQ117" s="222"/>
      <c r="CYR117" s="222"/>
      <c r="CYS117" s="222"/>
      <c r="CYT117" s="222"/>
      <c r="CYU117" s="222"/>
      <c r="CYV117" s="222"/>
      <c r="CYW117" s="222"/>
      <c r="CYX117" s="222"/>
      <c r="CYY117" s="222"/>
      <c r="CYZ117" s="222"/>
      <c r="CZA117" s="222"/>
      <c r="CZB117" s="222"/>
      <c r="CZC117" s="222"/>
      <c r="CZD117" s="222"/>
      <c r="CZE117" s="222"/>
      <c r="CZF117" s="222"/>
      <c r="CZG117" s="222"/>
      <c r="CZH117" s="222"/>
      <c r="CZI117" s="222"/>
      <c r="CZJ117" s="222"/>
      <c r="CZK117" s="222"/>
      <c r="CZL117" s="222"/>
      <c r="CZM117" s="222"/>
      <c r="CZN117" s="222"/>
      <c r="CZO117" s="222"/>
      <c r="CZP117" s="222"/>
      <c r="CZQ117" s="222"/>
      <c r="CZR117" s="222"/>
      <c r="CZS117" s="222"/>
      <c r="CZT117" s="222"/>
      <c r="CZU117" s="222"/>
      <c r="CZV117" s="222"/>
      <c r="CZW117" s="222"/>
      <c r="CZX117" s="222"/>
      <c r="CZY117" s="222"/>
      <c r="CZZ117" s="222"/>
      <c r="DAA117" s="222"/>
      <c r="DAB117" s="222"/>
      <c r="DAC117" s="222"/>
      <c r="DAD117" s="222"/>
      <c r="DAE117" s="222"/>
      <c r="DAF117" s="222"/>
      <c r="DAG117" s="222"/>
      <c r="DAH117" s="222"/>
      <c r="DAI117" s="222"/>
      <c r="DAJ117" s="222"/>
      <c r="DAK117" s="222"/>
      <c r="DAL117" s="222"/>
      <c r="DAM117" s="222"/>
      <c r="DAN117" s="222"/>
      <c r="DAO117" s="222"/>
      <c r="DAP117" s="222"/>
      <c r="DAQ117" s="222"/>
      <c r="DAR117" s="222"/>
      <c r="DAS117" s="222"/>
      <c r="DAT117" s="222"/>
      <c r="DAU117" s="222"/>
      <c r="DAV117" s="222"/>
      <c r="DAW117" s="222"/>
      <c r="DAX117" s="222"/>
      <c r="DAY117" s="222"/>
      <c r="DAZ117" s="222"/>
      <c r="DBA117" s="222"/>
      <c r="DBB117" s="222"/>
      <c r="DBC117" s="222"/>
      <c r="DBD117" s="222"/>
      <c r="DBE117" s="222"/>
      <c r="DBF117" s="222"/>
      <c r="DBG117" s="222"/>
      <c r="DBH117" s="222"/>
      <c r="DBI117" s="222"/>
      <c r="DBJ117" s="222"/>
      <c r="DBK117" s="222"/>
      <c r="DBL117" s="222"/>
      <c r="DBM117" s="222"/>
      <c r="DBN117" s="222"/>
      <c r="DBO117" s="222"/>
      <c r="DBP117" s="222"/>
      <c r="DBQ117" s="222"/>
      <c r="DBR117" s="222"/>
      <c r="DBS117" s="222"/>
      <c r="DBT117" s="222"/>
      <c r="DBU117" s="222"/>
      <c r="DBV117" s="222"/>
      <c r="DBW117" s="222"/>
      <c r="DBX117" s="222"/>
      <c r="DBY117" s="222"/>
      <c r="DBZ117" s="222"/>
      <c r="DCA117" s="222"/>
      <c r="DCB117" s="222"/>
      <c r="DCC117" s="222"/>
      <c r="DCD117" s="222"/>
      <c r="DCE117" s="222"/>
      <c r="DCF117" s="222"/>
      <c r="DCG117" s="222"/>
      <c r="DCH117" s="222"/>
      <c r="DCI117" s="222"/>
      <c r="DCJ117" s="222"/>
      <c r="DCK117" s="222"/>
      <c r="DCL117" s="222"/>
      <c r="DCM117" s="222"/>
      <c r="DCN117" s="222"/>
      <c r="DCO117" s="222"/>
      <c r="DCP117" s="222"/>
      <c r="DCQ117" s="222"/>
      <c r="DCR117" s="222"/>
      <c r="DCS117" s="222"/>
      <c r="DCT117" s="222"/>
      <c r="DCU117" s="222"/>
      <c r="DCV117" s="222"/>
      <c r="DCW117" s="222"/>
      <c r="DCX117" s="222"/>
      <c r="DCY117" s="222"/>
      <c r="DCZ117" s="222"/>
      <c r="DDA117" s="222"/>
      <c r="DDB117" s="222"/>
      <c r="DDC117" s="222"/>
      <c r="DDD117" s="222"/>
      <c r="DDE117" s="222"/>
      <c r="DDF117" s="222"/>
      <c r="DDG117" s="222"/>
      <c r="DDH117" s="222"/>
      <c r="DDI117" s="222"/>
      <c r="DDJ117" s="222"/>
      <c r="DDK117" s="222"/>
      <c r="DDL117" s="222"/>
      <c r="DDM117" s="222"/>
      <c r="DDN117" s="222"/>
      <c r="DDO117" s="222"/>
      <c r="DDP117" s="222"/>
      <c r="DDQ117" s="222"/>
      <c r="DDR117" s="222"/>
      <c r="DDS117" s="222"/>
      <c r="DDT117" s="222"/>
      <c r="DDU117" s="222"/>
      <c r="DDV117" s="222"/>
      <c r="DDW117" s="222"/>
      <c r="DDX117" s="222"/>
      <c r="DDY117" s="222"/>
      <c r="DDZ117" s="222"/>
      <c r="DEA117" s="222"/>
      <c r="DEB117" s="222"/>
      <c r="DEC117" s="222"/>
      <c r="DED117" s="222"/>
      <c r="DEE117" s="222"/>
      <c r="DEF117" s="222"/>
      <c r="DEG117" s="222"/>
      <c r="DEH117" s="222"/>
      <c r="DEI117" s="222"/>
      <c r="DEJ117" s="222"/>
      <c r="DEK117" s="222"/>
      <c r="DEL117" s="222"/>
      <c r="DEM117" s="222"/>
      <c r="DEN117" s="222"/>
      <c r="DEO117" s="222"/>
      <c r="DEP117" s="222"/>
      <c r="DEQ117" s="222"/>
      <c r="DER117" s="222"/>
      <c r="DES117" s="222"/>
      <c r="DET117" s="222"/>
      <c r="DEU117" s="222"/>
      <c r="DEV117" s="222"/>
      <c r="DEW117" s="222"/>
      <c r="DEX117" s="222"/>
      <c r="DEY117" s="222"/>
      <c r="DEZ117" s="222"/>
      <c r="DFA117" s="222"/>
      <c r="DFB117" s="222"/>
      <c r="DFC117" s="222"/>
      <c r="DFD117" s="222"/>
      <c r="DFE117" s="222"/>
      <c r="DFF117" s="222"/>
      <c r="DFG117" s="222"/>
      <c r="DFH117" s="222"/>
      <c r="DFI117" s="222"/>
      <c r="DFJ117" s="222"/>
      <c r="DFK117" s="222"/>
      <c r="DFL117" s="222"/>
      <c r="DFM117" s="222"/>
      <c r="DFN117" s="222"/>
      <c r="DFO117" s="222"/>
      <c r="DFP117" s="222"/>
      <c r="DFQ117" s="222"/>
      <c r="DFR117" s="222"/>
      <c r="DFS117" s="222"/>
      <c r="DFT117" s="222"/>
      <c r="DFU117" s="222"/>
      <c r="DFV117" s="222"/>
      <c r="DFW117" s="222"/>
      <c r="DFX117" s="222"/>
      <c r="DFY117" s="222"/>
      <c r="DFZ117" s="222"/>
      <c r="DGA117" s="222"/>
      <c r="DGB117" s="222"/>
      <c r="DGC117" s="222"/>
      <c r="DGD117" s="222"/>
      <c r="DGE117" s="222"/>
      <c r="DGF117" s="222"/>
      <c r="DGG117" s="222"/>
      <c r="DGH117" s="222"/>
      <c r="DGI117" s="222"/>
      <c r="DGJ117" s="222"/>
      <c r="DGK117" s="222"/>
      <c r="DGL117" s="222"/>
      <c r="DGM117" s="222"/>
      <c r="DGN117" s="222"/>
      <c r="DGO117" s="222"/>
      <c r="DGP117" s="222"/>
      <c r="DGQ117" s="222"/>
      <c r="DGR117" s="222"/>
      <c r="DGS117" s="222"/>
      <c r="DGT117" s="222"/>
      <c r="DGU117" s="222"/>
      <c r="DGV117" s="222"/>
      <c r="DGW117" s="222"/>
      <c r="DGX117" s="222"/>
      <c r="DGY117" s="222"/>
      <c r="DGZ117" s="222"/>
      <c r="DHA117" s="222"/>
      <c r="DHB117" s="222"/>
      <c r="DHC117" s="222"/>
      <c r="DHD117" s="222"/>
      <c r="DHE117" s="222"/>
      <c r="DHF117" s="222"/>
      <c r="DHG117" s="222"/>
      <c r="DHH117" s="222"/>
      <c r="DHI117" s="222"/>
      <c r="DHJ117" s="222"/>
      <c r="DHK117" s="222"/>
      <c r="DHL117" s="222"/>
      <c r="DHM117" s="222"/>
      <c r="DHN117" s="222"/>
      <c r="DHO117" s="222"/>
      <c r="DHP117" s="222"/>
      <c r="DHQ117" s="222"/>
      <c r="DHR117" s="222"/>
      <c r="DHS117" s="222"/>
      <c r="DHT117" s="222"/>
      <c r="DHU117" s="222"/>
      <c r="DHV117" s="222"/>
      <c r="DHW117" s="222"/>
      <c r="DHX117" s="222"/>
      <c r="DHY117" s="222"/>
      <c r="DHZ117" s="222"/>
      <c r="DIA117" s="222"/>
      <c r="DIB117" s="222"/>
      <c r="DIC117" s="222"/>
      <c r="DID117" s="222"/>
      <c r="DIE117" s="222"/>
      <c r="DIF117" s="222"/>
      <c r="DIG117" s="222"/>
      <c r="DIH117" s="222"/>
      <c r="DII117" s="222"/>
      <c r="DIJ117" s="222"/>
      <c r="DIK117" s="222"/>
      <c r="DIL117" s="222"/>
      <c r="DIM117" s="222"/>
      <c r="DIN117" s="222"/>
      <c r="DIO117" s="222"/>
      <c r="DIP117" s="222"/>
      <c r="DIQ117" s="222"/>
      <c r="DIR117" s="222"/>
      <c r="DIS117" s="222"/>
      <c r="DIT117" s="222"/>
      <c r="DIU117" s="222"/>
      <c r="DIV117" s="222"/>
      <c r="DIW117" s="222"/>
      <c r="DIX117" s="222"/>
      <c r="DIY117" s="222"/>
      <c r="DIZ117" s="222"/>
      <c r="DJA117" s="222"/>
      <c r="DJB117" s="222"/>
      <c r="DJC117" s="222"/>
      <c r="DJD117" s="222"/>
      <c r="DJE117" s="222"/>
      <c r="DJF117" s="222"/>
      <c r="DJG117" s="222"/>
      <c r="DJH117" s="222"/>
      <c r="DJI117" s="222"/>
      <c r="DJJ117" s="222"/>
      <c r="DJK117" s="222"/>
      <c r="DJL117" s="222"/>
      <c r="DJM117" s="222"/>
      <c r="DJN117" s="222"/>
      <c r="DJO117" s="222"/>
      <c r="DJP117" s="222"/>
      <c r="DJQ117" s="222"/>
      <c r="DJR117" s="222"/>
      <c r="DJS117" s="222"/>
      <c r="DJT117" s="222"/>
      <c r="DJU117" s="222"/>
      <c r="DJV117" s="222"/>
      <c r="DJW117" s="222"/>
      <c r="DJX117" s="222"/>
      <c r="DJY117" s="222"/>
      <c r="DJZ117" s="222"/>
      <c r="DKA117" s="222"/>
      <c r="DKB117" s="222"/>
      <c r="DKC117" s="222"/>
      <c r="DKD117" s="222"/>
      <c r="DKE117" s="222"/>
      <c r="DKF117" s="222"/>
      <c r="DKG117" s="222"/>
      <c r="DKH117" s="222"/>
      <c r="DKI117" s="222"/>
      <c r="DKJ117" s="222"/>
      <c r="DKK117" s="222"/>
      <c r="DKL117" s="222"/>
      <c r="DKM117" s="222"/>
      <c r="DKN117" s="222"/>
      <c r="DKO117" s="222"/>
      <c r="DKP117" s="222"/>
      <c r="DKQ117" s="222"/>
      <c r="DKR117" s="222"/>
      <c r="DKS117" s="222"/>
      <c r="DKT117" s="222"/>
      <c r="DKU117" s="222"/>
      <c r="DKV117" s="222"/>
      <c r="DKW117" s="222"/>
      <c r="DKX117" s="222"/>
      <c r="DKY117" s="222"/>
      <c r="DKZ117" s="222"/>
      <c r="DLA117" s="222"/>
      <c r="DLB117" s="222"/>
      <c r="DLC117" s="222"/>
      <c r="DLD117" s="222"/>
      <c r="DLE117" s="222"/>
      <c r="DLF117" s="222"/>
      <c r="DLG117" s="222"/>
      <c r="DLH117" s="222"/>
      <c r="DLI117" s="222"/>
      <c r="DLJ117" s="222"/>
      <c r="DLK117" s="222"/>
      <c r="DLL117" s="222"/>
      <c r="DLM117" s="222"/>
      <c r="DLN117" s="222"/>
      <c r="DLO117" s="222"/>
      <c r="DLP117" s="222"/>
      <c r="DLQ117" s="222"/>
      <c r="DLR117" s="222"/>
      <c r="DLS117" s="222"/>
      <c r="DLT117" s="222"/>
      <c r="DLU117" s="222"/>
      <c r="DLV117" s="222"/>
      <c r="DLW117" s="222"/>
      <c r="DLX117" s="222"/>
      <c r="DLY117" s="222"/>
      <c r="DLZ117" s="222"/>
      <c r="DMA117" s="222"/>
      <c r="DMB117" s="222"/>
      <c r="DMC117" s="222"/>
      <c r="DMD117" s="222"/>
      <c r="DME117" s="222"/>
      <c r="DMF117" s="222"/>
      <c r="DMG117" s="222"/>
      <c r="DMH117" s="222"/>
      <c r="DMI117" s="222"/>
      <c r="DMJ117" s="222"/>
      <c r="DMK117" s="222"/>
      <c r="DML117" s="222"/>
      <c r="DMM117" s="222"/>
      <c r="DMN117" s="222"/>
      <c r="DMO117" s="222"/>
      <c r="DMP117" s="222"/>
      <c r="DMQ117" s="222"/>
      <c r="DMR117" s="222"/>
      <c r="DMS117" s="222"/>
      <c r="DMT117" s="222"/>
      <c r="DMU117" s="222"/>
      <c r="DMV117" s="222"/>
      <c r="DMW117" s="222"/>
      <c r="DMX117" s="222"/>
      <c r="DMY117" s="222"/>
      <c r="DMZ117" s="222"/>
      <c r="DNA117" s="222"/>
      <c r="DNB117" s="222"/>
      <c r="DNC117" s="222"/>
      <c r="DND117" s="222"/>
      <c r="DNE117" s="222"/>
      <c r="DNF117" s="222"/>
      <c r="DNG117" s="222"/>
      <c r="DNH117" s="222"/>
      <c r="DNI117" s="222"/>
      <c r="DNJ117" s="222"/>
      <c r="DNK117" s="222"/>
      <c r="DNL117" s="222"/>
      <c r="DNM117" s="222"/>
      <c r="DNN117" s="222"/>
      <c r="DNO117" s="222"/>
      <c r="DNP117" s="222"/>
      <c r="DNQ117" s="222"/>
      <c r="DNR117" s="222"/>
      <c r="DNS117" s="222"/>
      <c r="DNT117" s="222"/>
      <c r="DNU117" s="222"/>
      <c r="DNV117" s="222"/>
      <c r="DNW117" s="222"/>
      <c r="DNX117" s="222"/>
      <c r="DNY117" s="222"/>
      <c r="DNZ117" s="222"/>
      <c r="DOA117" s="222"/>
      <c r="DOB117" s="222"/>
      <c r="DOC117" s="222"/>
      <c r="DOD117" s="222"/>
      <c r="DOE117" s="222"/>
      <c r="DOF117" s="222"/>
      <c r="DOG117" s="222"/>
      <c r="DOH117" s="222"/>
      <c r="DOI117" s="222"/>
      <c r="DOJ117" s="222"/>
      <c r="DOK117" s="222"/>
      <c r="DOL117" s="222"/>
      <c r="DOM117" s="222"/>
      <c r="DON117" s="222"/>
      <c r="DOO117" s="222"/>
      <c r="DOP117" s="222"/>
      <c r="DOQ117" s="222"/>
      <c r="DOR117" s="222"/>
      <c r="DOS117" s="222"/>
      <c r="DOT117" s="222"/>
      <c r="DOU117" s="222"/>
      <c r="DOV117" s="222"/>
      <c r="DOW117" s="222"/>
      <c r="DOX117" s="222"/>
      <c r="DOY117" s="222"/>
      <c r="DOZ117" s="222"/>
      <c r="DPA117" s="222"/>
      <c r="DPB117" s="222"/>
      <c r="DPC117" s="222"/>
      <c r="DPD117" s="222"/>
      <c r="DPE117" s="222"/>
      <c r="DPF117" s="222"/>
      <c r="DPG117" s="222"/>
      <c r="DPH117" s="222"/>
      <c r="DPI117" s="222"/>
      <c r="DPJ117" s="222"/>
      <c r="DPK117" s="222"/>
      <c r="DPL117" s="222"/>
      <c r="DPM117" s="222"/>
      <c r="DPN117" s="222"/>
      <c r="DPO117" s="222"/>
      <c r="DPP117" s="222"/>
      <c r="DPQ117" s="222"/>
      <c r="DPR117" s="222"/>
      <c r="DPS117" s="222"/>
      <c r="DPT117" s="222"/>
      <c r="DPU117" s="222"/>
      <c r="DPV117" s="222"/>
      <c r="DPW117" s="222"/>
      <c r="DPX117" s="222"/>
      <c r="DPY117" s="222"/>
      <c r="DPZ117" s="222"/>
      <c r="DQA117" s="222"/>
      <c r="DQB117" s="222"/>
      <c r="DQC117" s="222"/>
      <c r="DQD117" s="222"/>
      <c r="DQE117" s="222"/>
      <c r="DQF117" s="222"/>
      <c r="DQG117" s="222"/>
      <c r="DQH117" s="222"/>
      <c r="DQI117" s="222"/>
      <c r="DQJ117" s="222"/>
      <c r="DQK117" s="222"/>
      <c r="DQL117" s="222"/>
      <c r="DQM117" s="222"/>
      <c r="DQN117" s="222"/>
      <c r="DQO117" s="222"/>
      <c r="DQP117" s="222"/>
      <c r="DQQ117" s="222"/>
      <c r="DQR117" s="222"/>
      <c r="DQS117" s="222"/>
      <c r="DQT117" s="222"/>
      <c r="DQU117" s="222"/>
      <c r="DQV117" s="222"/>
      <c r="DQW117" s="222"/>
      <c r="DQX117" s="222"/>
      <c r="DQY117" s="222"/>
      <c r="DQZ117" s="222"/>
      <c r="DRA117" s="222"/>
      <c r="DRB117" s="222"/>
      <c r="DRC117" s="222"/>
      <c r="DRD117" s="222"/>
      <c r="DRE117" s="222"/>
      <c r="DRF117" s="222"/>
      <c r="DRG117" s="222"/>
      <c r="DRH117" s="222"/>
      <c r="DRI117" s="222"/>
      <c r="DRJ117" s="222"/>
      <c r="DRK117" s="222"/>
      <c r="DRL117" s="222"/>
      <c r="DRM117" s="222"/>
      <c r="DRN117" s="222"/>
      <c r="DRO117" s="222"/>
      <c r="DRP117" s="222"/>
      <c r="DRQ117" s="222"/>
      <c r="DRR117" s="222"/>
      <c r="DRS117" s="222"/>
      <c r="DRT117" s="222"/>
      <c r="DRU117" s="222"/>
      <c r="DRV117" s="222"/>
      <c r="DRW117" s="222"/>
      <c r="DRX117" s="222"/>
      <c r="DRY117" s="222"/>
      <c r="DRZ117" s="222"/>
      <c r="DSA117" s="222"/>
      <c r="DSB117" s="222"/>
      <c r="DSC117" s="222"/>
      <c r="DSD117" s="222"/>
      <c r="DSE117" s="222"/>
      <c r="DSF117" s="222"/>
      <c r="DSG117" s="222"/>
      <c r="DSH117" s="222"/>
      <c r="DSI117" s="222"/>
      <c r="DSJ117" s="222"/>
      <c r="DSK117" s="222"/>
      <c r="DSL117" s="222"/>
      <c r="DSM117" s="222"/>
      <c r="DSN117" s="222"/>
      <c r="DSO117" s="222"/>
      <c r="DSP117" s="222"/>
      <c r="DSQ117" s="222"/>
      <c r="DSR117" s="222"/>
      <c r="DSS117" s="222"/>
      <c r="DST117" s="222"/>
      <c r="DSU117" s="222"/>
      <c r="DSV117" s="222"/>
      <c r="DSW117" s="222"/>
      <c r="DSX117" s="222"/>
      <c r="DSY117" s="222"/>
      <c r="DSZ117" s="222"/>
      <c r="DTA117" s="222"/>
      <c r="DTB117" s="222"/>
      <c r="DTC117" s="222"/>
      <c r="DTD117" s="222"/>
      <c r="DTE117" s="222"/>
      <c r="DTF117" s="222"/>
      <c r="DTG117" s="222"/>
      <c r="DTH117" s="222"/>
      <c r="DTI117" s="222"/>
      <c r="DTJ117" s="222"/>
      <c r="DTK117" s="222"/>
      <c r="DTL117" s="222"/>
      <c r="DTM117" s="222"/>
      <c r="DTN117" s="222"/>
      <c r="DTO117" s="222"/>
      <c r="DTP117" s="222"/>
      <c r="DTQ117" s="222"/>
      <c r="DTR117" s="222"/>
      <c r="DTS117" s="222"/>
      <c r="DTT117" s="222"/>
      <c r="DTU117" s="222"/>
      <c r="DTV117" s="222"/>
      <c r="DTW117" s="222"/>
      <c r="DTX117" s="222"/>
      <c r="DTY117" s="222"/>
      <c r="DTZ117" s="222"/>
      <c r="DUA117" s="222"/>
      <c r="DUB117" s="222"/>
      <c r="DUC117" s="222"/>
      <c r="DUD117" s="222"/>
      <c r="DUE117" s="222"/>
      <c r="DUF117" s="222"/>
      <c r="DUG117" s="222"/>
      <c r="DUH117" s="222"/>
      <c r="DUI117" s="222"/>
      <c r="DUJ117" s="222"/>
      <c r="DUK117" s="222"/>
      <c r="DUL117" s="222"/>
      <c r="DUM117" s="222"/>
      <c r="DUN117" s="222"/>
      <c r="DUO117" s="222"/>
      <c r="DUP117" s="222"/>
      <c r="DUQ117" s="222"/>
      <c r="DUR117" s="222"/>
      <c r="DUS117" s="222"/>
      <c r="DUT117" s="222"/>
      <c r="DUU117" s="222"/>
      <c r="DUV117" s="222"/>
      <c r="DUW117" s="222"/>
      <c r="DUX117" s="222"/>
      <c r="DUY117" s="222"/>
      <c r="DUZ117" s="222"/>
      <c r="DVA117" s="222"/>
      <c r="DVB117" s="222"/>
      <c r="DVC117" s="222"/>
      <c r="DVD117" s="222"/>
      <c r="DVE117" s="222"/>
      <c r="DVF117" s="222"/>
      <c r="DVG117" s="222"/>
      <c r="DVH117" s="222"/>
      <c r="DVI117" s="222"/>
      <c r="DVJ117" s="222"/>
      <c r="DVK117" s="222"/>
      <c r="DVL117" s="222"/>
      <c r="DVM117" s="222"/>
      <c r="DVN117" s="222"/>
      <c r="DVO117" s="222"/>
      <c r="DVP117" s="222"/>
      <c r="DVQ117" s="222"/>
      <c r="DVR117" s="222"/>
      <c r="DVS117" s="222"/>
      <c r="DVT117" s="222"/>
      <c r="DVU117" s="222"/>
      <c r="DVV117" s="222"/>
      <c r="DVW117" s="222"/>
      <c r="DVX117" s="222"/>
      <c r="DVY117" s="222"/>
      <c r="DVZ117" s="222"/>
      <c r="DWA117" s="222"/>
      <c r="DWB117" s="222"/>
      <c r="DWC117" s="222"/>
      <c r="DWD117" s="222"/>
      <c r="DWE117" s="222"/>
      <c r="DWF117" s="222"/>
      <c r="DWG117" s="222"/>
      <c r="DWH117" s="222"/>
      <c r="DWI117" s="222"/>
      <c r="DWJ117" s="222"/>
      <c r="DWK117" s="222"/>
      <c r="DWL117" s="222"/>
      <c r="DWM117" s="222"/>
      <c r="DWN117" s="222"/>
      <c r="DWO117" s="222"/>
      <c r="DWP117" s="222"/>
      <c r="DWQ117" s="222"/>
      <c r="DWR117" s="222"/>
      <c r="DWS117" s="222"/>
      <c r="DWT117" s="222"/>
      <c r="DWU117" s="222"/>
      <c r="DWV117" s="222"/>
      <c r="DWW117" s="222"/>
      <c r="DWX117" s="222"/>
      <c r="DWY117" s="222"/>
      <c r="DWZ117" s="222"/>
      <c r="DXA117" s="222"/>
      <c r="DXB117" s="222"/>
      <c r="DXC117" s="222"/>
      <c r="DXD117" s="222"/>
      <c r="DXE117" s="222"/>
      <c r="DXF117" s="222"/>
      <c r="DXG117" s="222"/>
      <c r="DXH117" s="222"/>
      <c r="DXI117" s="222"/>
      <c r="DXJ117" s="222"/>
      <c r="DXK117" s="222"/>
      <c r="DXL117" s="222"/>
      <c r="DXM117" s="222"/>
      <c r="DXN117" s="222"/>
      <c r="DXO117" s="222"/>
      <c r="DXP117" s="222"/>
      <c r="DXQ117" s="222"/>
      <c r="DXR117" s="222"/>
      <c r="DXS117" s="222"/>
      <c r="DXT117" s="222"/>
      <c r="DXU117" s="222"/>
      <c r="DXV117" s="222"/>
      <c r="DXW117" s="222"/>
      <c r="DXX117" s="222"/>
      <c r="DXY117" s="222"/>
      <c r="DXZ117" s="222"/>
      <c r="DYA117" s="222"/>
      <c r="DYB117" s="222"/>
      <c r="DYC117" s="222"/>
      <c r="DYD117" s="222"/>
      <c r="DYE117" s="222"/>
      <c r="DYF117" s="222"/>
      <c r="DYG117" s="222"/>
      <c r="DYH117" s="222"/>
      <c r="DYI117" s="222"/>
      <c r="DYJ117" s="222"/>
      <c r="DYK117" s="222"/>
      <c r="DYL117" s="222"/>
      <c r="DYM117" s="222"/>
      <c r="DYN117" s="222"/>
      <c r="DYO117" s="222"/>
      <c r="DYP117" s="222"/>
      <c r="DYQ117" s="222"/>
      <c r="DYR117" s="222"/>
      <c r="DYS117" s="222"/>
      <c r="DYT117" s="222"/>
      <c r="DYU117" s="222"/>
      <c r="DYV117" s="222"/>
      <c r="DYW117" s="222"/>
      <c r="DYX117" s="222"/>
      <c r="DYY117" s="222"/>
      <c r="DYZ117" s="222"/>
      <c r="DZA117" s="222"/>
      <c r="DZB117" s="222"/>
      <c r="DZC117" s="222"/>
      <c r="DZD117" s="222"/>
      <c r="DZE117" s="222"/>
      <c r="DZF117" s="222"/>
      <c r="DZG117" s="222"/>
      <c r="DZH117" s="222"/>
      <c r="DZI117" s="222"/>
      <c r="DZJ117" s="222"/>
      <c r="DZK117" s="222"/>
      <c r="DZL117" s="222"/>
      <c r="DZM117" s="222"/>
      <c r="DZN117" s="222"/>
      <c r="DZO117" s="222"/>
      <c r="DZP117" s="222"/>
      <c r="DZQ117" s="222"/>
      <c r="DZR117" s="222"/>
      <c r="DZS117" s="222"/>
      <c r="DZT117" s="222"/>
      <c r="DZU117" s="222"/>
      <c r="DZV117" s="222"/>
      <c r="DZW117" s="222"/>
      <c r="DZX117" s="222"/>
      <c r="DZY117" s="222"/>
      <c r="DZZ117" s="222"/>
      <c r="EAA117" s="222"/>
      <c r="EAB117" s="222"/>
      <c r="EAC117" s="222"/>
      <c r="EAD117" s="222"/>
      <c r="EAE117" s="222"/>
      <c r="EAF117" s="222"/>
      <c r="EAG117" s="222"/>
      <c r="EAH117" s="222"/>
      <c r="EAI117" s="222"/>
      <c r="EAJ117" s="222"/>
      <c r="EAK117" s="222"/>
      <c r="EAL117" s="222"/>
      <c r="EAM117" s="222"/>
      <c r="EAN117" s="222"/>
      <c r="EAO117" s="222"/>
      <c r="EAP117" s="222"/>
      <c r="EAQ117" s="222"/>
      <c r="EAR117" s="222"/>
      <c r="EAS117" s="222"/>
      <c r="EAT117" s="222"/>
      <c r="EAU117" s="222"/>
      <c r="EAV117" s="222"/>
      <c r="EAW117" s="222"/>
      <c r="EAX117" s="222"/>
      <c r="EAY117" s="222"/>
      <c r="EAZ117" s="222"/>
      <c r="EBA117" s="222"/>
      <c r="EBB117" s="222"/>
      <c r="EBC117" s="222"/>
      <c r="EBD117" s="222"/>
      <c r="EBE117" s="222"/>
      <c r="EBF117" s="222"/>
      <c r="EBG117" s="222"/>
      <c r="EBH117" s="222"/>
      <c r="EBI117" s="222"/>
      <c r="EBJ117" s="222"/>
      <c r="EBK117" s="222"/>
      <c r="EBL117" s="222"/>
      <c r="EBM117" s="222"/>
      <c r="EBN117" s="222"/>
      <c r="EBO117" s="222"/>
      <c r="EBP117" s="222"/>
      <c r="EBQ117" s="222"/>
      <c r="EBR117" s="222"/>
      <c r="EBS117" s="222"/>
      <c r="EBT117" s="222"/>
      <c r="EBU117" s="222"/>
      <c r="EBV117" s="222"/>
      <c r="EBW117" s="222"/>
      <c r="EBX117" s="222"/>
      <c r="EBY117" s="222"/>
      <c r="EBZ117" s="222"/>
      <c r="ECA117" s="222"/>
      <c r="ECB117" s="222"/>
      <c r="ECC117" s="222"/>
      <c r="ECD117" s="222"/>
      <c r="ECE117" s="222"/>
      <c r="ECF117" s="222"/>
      <c r="ECG117" s="222"/>
      <c r="ECH117" s="222"/>
      <c r="ECI117" s="222"/>
      <c r="ECJ117" s="222"/>
      <c r="ECK117" s="222"/>
      <c r="ECL117" s="222"/>
      <c r="ECM117" s="222"/>
      <c r="ECN117" s="222"/>
      <c r="ECO117" s="222"/>
      <c r="ECP117" s="222"/>
      <c r="ECQ117" s="222"/>
      <c r="ECR117" s="222"/>
      <c r="ECS117" s="222"/>
      <c r="ECT117" s="222"/>
      <c r="ECU117" s="222"/>
      <c r="ECV117" s="222"/>
      <c r="ECW117" s="222"/>
      <c r="ECX117" s="222"/>
      <c r="ECY117" s="222"/>
      <c r="ECZ117" s="222"/>
      <c r="EDA117" s="222"/>
      <c r="EDB117" s="222"/>
      <c r="EDC117" s="222"/>
      <c r="EDD117" s="222"/>
      <c r="EDE117" s="222"/>
      <c r="EDF117" s="222"/>
      <c r="EDG117" s="222"/>
      <c r="EDH117" s="222"/>
      <c r="EDI117" s="222"/>
      <c r="EDJ117" s="222"/>
      <c r="EDK117" s="222"/>
      <c r="EDL117" s="222"/>
      <c r="EDM117" s="222"/>
      <c r="EDN117" s="222"/>
      <c r="EDO117" s="222"/>
      <c r="EDP117" s="222"/>
      <c r="EDQ117" s="222"/>
      <c r="EDR117" s="222"/>
      <c r="EDS117" s="222"/>
      <c r="EDT117" s="222"/>
      <c r="EDU117" s="222"/>
      <c r="EDV117" s="222"/>
      <c r="EDW117" s="222"/>
      <c r="EDX117" s="222"/>
      <c r="EDY117" s="222"/>
      <c r="EDZ117" s="222"/>
      <c r="EEA117" s="222"/>
      <c r="EEB117" s="222"/>
      <c r="EEC117" s="222"/>
      <c r="EED117" s="222"/>
      <c r="EEE117" s="222"/>
      <c r="EEF117" s="222"/>
      <c r="EEG117" s="222"/>
      <c r="EEH117" s="222"/>
      <c r="EEI117" s="222"/>
      <c r="EEJ117" s="222"/>
      <c r="EEK117" s="222"/>
      <c r="EEL117" s="222"/>
      <c r="EEM117" s="222"/>
      <c r="EEN117" s="222"/>
      <c r="EEO117" s="222"/>
      <c r="EEP117" s="222"/>
      <c r="EEQ117" s="222"/>
      <c r="EER117" s="222"/>
      <c r="EES117" s="222"/>
      <c r="EET117" s="222"/>
      <c r="EEU117" s="222"/>
      <c r="EEV117" s="222"/>
      <c r="EEW117" s="222"/>
      <c r="EEX117" s="222"/>
      <c r="EEY117" s="222"/>
      <c r="EEZ117" s="222"/>
      <c r="EFA117" s="222"/>
      <c r="EFB117" s="222"/>
      <c r="EFC117" s="222"/>
      <c r="EFD117" s="222"/>
      <c r="EFE117" s="222"/>
      <c r="EFF117" s="222"/>
      <c r="EFG117" s="222"/>
      <c r="EFH117" s="222"/>
      <c r="EFI117" s="222"/>
      <c r="EFJ117" s="222"/>
      <c r="EFK117" s="222"/>
      <c r="EFL117" s="222"/>
      <c r="EFM117" s="222"/>
      <c r="EFN117" s="222"/>
      <c r="EFO117" s="222"/>
      <c r="EFP117" s="222"/>
      <c r="EFQ117" s="222"/>
      <c r="EFR117" s="222"/>
      <c r="EFS117" s="222"/>
      <c r="EFT117" s="222"/>
      <c r="EFU117" s="222"/>
      <c r="EFV117" s="222"/>
      <c r="EFW117" s="222"/>
      <c r="EFX117" s="222"/>
      <c r="EFY117" s="222"/>
      <c r="EFZ117" s="222"/>
      <c r="EGA117" s="222"/>
      <c r="EGB117" s="222"/>
      <c r="EGC117" s="222"/>
      <c r="EGD117" s="222"/>
      <c r="EGE117" s="222"/>
      <c r="EGF117" s="222"/>
      <c r="EGG117" s="222"/>
      <c r="EGH117" s="222"/>
      <c r="EGI117" s="222"/>
      <c r="EGJ117" s="222"/>
      <c r="EGK117" s="222"/>
      <c r="EGL117" s="222"/>
      <c r="EGM117" s="222"/>
      <c r="EGN117" s="222"/>
      <c r="EGO117" s="222"/>
      <c r="EGP117" s="222"/>
      <c r="EGQ117" s="222"/>
      <c r="EGR117" s="222"/>
      <c r="EGS117" s="222"/>
      <c r="EGT117" s="222"/>
      <c r="EGU117" s="222"/>
      <c r="EGV117" s="222"/>
      <c r="EGW117" s="222"/>
      <c r="EGX117" s="222"/>
      <c r="EGY117" s="222"/>
      <c r="EGZ117" s="222"/>
      <c r="EHA117" s="222"/>
      <c r="EHB117" s="222"/>
      <c r="EHC117" s="222"/>
      <c r="EHD117" s="222"/>
      <c r="EHE117" s="222"/>
      <c r="EHF117" s="222"/>
      <c r="EHG117" s="222"/>
      <c r="EHH117" s="222"/>
      <c r="EHI117" s="222"/>
      <c r="EHJ117" s="222"/>
      <c r="EHK117" s="222"/>
      <c r="EHL117" s="222"/>
      <c r="EHM117" s="222"/>
      <c r="EHN117" s="222"/>
      <c r="EHO117" s="222"/>
      <c r="EHP117" s="222"/>
      <c r="EHQ117" s="222"/>
      <c r="EHR117" s="222"/>
      <c r="EHS117" s="222"/>
      <c r="EHT117" s="222"/>
      <c r="EHU117" s="222"/>
      <c r="EHV117" s="222"/>
      <c r="EHW117" s="222"/>
      <c r="EHX117" s="222"/>
      <c r="EHY117" s="222"/>
      <c r="EHZ117" s="222"/>
      <c r="EIA117" s="222"/>
      <c r="EIB117" s="222"/>
      <c r="EIC117" s="222"/>
      <c r="EID117" s="222"/>
      <c r="EIE117" s="222"/>
      <c r="EIF117" s="222"/>
      <c r="EIG117" s="222"/>
      <c r="EIH117" s="222"/>
      <c r="EII117" s="222"/>
      <c r="EIJ117" s="222"/>
      <c r="EIK117" s="222"/>
      <c r="EIL117" s="222"/>
      <c r="EIM117" s="222"/>
      <c r="EIN117" s="222"/>
      <c r="EIO117" s="222"/>
      <c r="EIP117" s="222"/>
      <c r="EIQ117" s="222"/>
      <c r="EIR117" s="222"/>
      <c r="EIS117" s="222"/>
      <c r="EIT117" s="222"/>
      <c r="EIU117" s="222"/>
      <c r="EIV117" s="222"/>
      <c r="EIW117" s="222"/>
      <c r="EIX117" s="222"/>
      <c r="EIY117" s="222"/>
      <c r="EIZ117" s="222"/>
      <c r="EJA117" s="222"/>
      <c r="EJB117" s="222"/>
      <c r="EJC117" s="222"/>
      <c r="EJD117" s="222"/>
      <c r="EJE117" s="222"/>
      <c r="EJF117" s="222"/>
      <c r="EJG117" s="222"/>
      <c r="EJH117" s="222"/>
      <c r="EJI117" s="222"/>
      <c r="EJJ117" s="222"/>
      <c r="EJK117" s="222"/>
      <c r="EJL117" s="222"/>
      <c r="EJM117" s="222"/>
      <c r="EJN117" s="222"/>
      <c r="EJO117" s="222"/>
      <c r="EJP117" s="222"/>
      <c r="EJQ117" s="222"/>
      <c r="EJR117" s="222"/>
      <c r="EJS117" s="222"/>
      <c r="EJT117" s="222"/>
      <c r="EJU117" s="222"/>
      <c r="EJV117" s="222"/>
      <c r="EJW117" s="222"/>
      <c r="EJX117" s="222"/>
      <c r="EJY117" s="222"/>
      <c r="EJZ117" s="222"/>
      <c r="EKA117" s="222"/>
      <c r="EKB117" s="222"/>
      <c r="EKC117" s="222"/>
      <c r="EKD117" s="222"/>
      <c r="EKE117" s="222"/>
      <c r="EKF117" s="222"/>
      <c r="EKG117" s="222"/>
      <c r="EKH117" s="222"/>
      <c r="EKI117" s="222"/>
      <c r="EKJ117" s="222"/>
      <c r="EKK117" s="222"/>
      <c r="EKL117" s="222"/>
      <c r="EKM117" s="222"/>
      <c r="EKN117" s="222"/>
      <c r="EKO117" s="222"/>
      <c r="EKP117" s="222"/>
      <c r="EKQ117" s="222"/>
      <c r="EKR117" s="222"/>
      <c r="EKS117" s="222"/>
      <c r="EKT117" s="222"/>
      <c r="EKU117" s="222"/>
      <c r="EKV117" s="222"/>
      <c r="EKW117" s="222"/>
      <c r="EKX117" s="222"/>
      <c r="EKY117" s="222"/>
      <c r="EKZ117" s="222"/>
      <c r="ELA117" s="222"/>
      <c r="ELB117" s="222"/>
      <c r="ELC117" s="222"/>
      <c r="ELD117" s="222"/>
      <c r="ELE117" s="222"/>
      <c r="ELF117" s="222"/>
      <c r="ELG117" s="222"/>
      <c r="ELH117" s="222"/>
      <c r="ELI117" s="222"/>
      <c r="ELJ117" s="222"/>
      <c r="ELK117" s="222"/>
      <c r="ELL117" s="222"/>
      <c r="ELM117" s="222"/>
      <c r="ELN117" s="222"/>
      <c r="ELO117" s="222"/>
      <c r="ELP117" s="222"/>
      <c r="ELQ117" s="222"/>
      <c r="ELR117" s="222"/>
      <c r="ELS117" s="222"/>
      <c r="ELT117" s="222"/>
      <c r="ELU117" s="222"/>
      <c r="ELV117" s="222"/>
      <c r="ELW117" s="222"/>
      <c r="ELX117" s="222"/>
      <c r="ELY117" s="222"/>
      <c r="ELZ117" s="222"/>
      <c r="EMA117" s="222"/>
      <c r="EMB117" s="222"/>
      <c r="EMC117" s="222"/>
      <c r="EMD117" s="222"/>
      <c r="EME117" s="222"/>
      <c r="EMF117" s="222"/>
      <c r="EMG117" s="222"/>
      <c r="EMH117" s="222"/>
      <c r="EMI117" s="222"/>
      <c r="EMJ117" s="222"/>
      <c r="EMK117" s="222"/>
      <c r="EML117" s="222"/>
      <c r="EMM117" s="222"/>
      <c r="EMN117" s="222"/>
      <c r="EMO117" s="222"/>
      <c r="EMP117" s="222"/>
      <c r="EMQ117" s="222"/>
      <c r="EMR117" s="222"/>
      <c r="EMS117" s="222"/>
      <c r="EMT117" s="222"/>
      <c r="EMU117" s="222"/>
      <c r="EMV117" s="222"/>
      <c r="EMW117" s="222"/>
      <c r="EMX117" s="222"/>
      <c r="EMY117" s="222"/>
      <c r="EMZ117" s="222"/>
      <c r="ENA117" s="222"/>
      <c r="ENB117" s="222"/>
      <c r="ENC117" s="222"/>
      <c r="END117" s="222"/>
      <c r="ENE117" s="222"/>
      <c r="ENF117" s="222"/>
      <c r="ENG117" s="222"/>
      <c r="ENH117" s="222"/>
      <c r="ENI117" s="222"/>
      <c r="ENJ117" s="222"/>
      <c r="ENK117" s="222"/>
      <c r="ENL117" s="222"/>
      <c r="ENM117" s="222"/>
      <c r="ENN117" s="222"/>
      <c r="ENO117" s="222"/>
      <c r="ENP117" s="222"/>
      <c r="ENQ117" s="222"/>
      <c r="ENR117" s="222"/>
      <c r="ENS117" s="222"/>
      <c r="ENT117" s="222"/>
      <c r="ENU117" s="222"/>
      <c r="ENV117" s="222"/>
      <c r="ENW117" s="222"/>
      <c r="ENX117" s="222"/>
      <c r="ENY117" s="222"/>
      <c r="ENZ117" s="222"/>
      <c r="EOA117" s="222"/>
      <c r="EOB117" s="222"/>
      <c r="EOC117" s="222"/>
      <c r="EOD117" s="222"/>
      <c r="EOE117" s="222"/>
      <c r="EOF117" s="222"/>
      <c r="EOG117" s="222"/>
      <c r="EOH117" s="222"/>
      <c r="EOI117" s="222"/>
      <c r="EOJ117" s="222"/>
      <c r="EOK117" s="222"/>
      <c r="EOL117" s="222"/>
      <c r="EOM117" s="222"/>
      <c r="EON117" s="222"/>
      <c r="EOO117" s="222"/>
      <c r="EOP117" s="222"/>
      <c r="EOQ117" s="222"/>
      <c r="EOR117" s="222"/>
      <c r="EOS117" s="222"/>
      <c r="EOT117" s="222"/>
      <c r="EOU117" s="222"/>
      <c r="EOV117" s="222"/>
      <c r="EOW117" s="222"/>
      <c r="EOX117" s="222"/>
      <c r="EOY117" s="222"/>
      <c r="EOZ117" s="222"/>
      <c r="EPA117" s="222"/>
      <c r="EPB117" s="222"/>
      <c r="EPC117" s="222"/>
      <c r="EPD117" s="222"/>
      <c r="EPE117" s="222"/>
      <c r="EPF117" s="222"/>
      <c r="EPG117" s="222"/>
      <c r="EPH117" s="222"/>
      <c r="EPI117" s="222"/>
      <c r="EPJ117" s="222"/>
      <c r="EPK117" s="222"/>
      <c r="EPL117" s="222"/>
      <c r="EPM117" s="222"/>
      <c r="EPN117" s="222"/>
      <c r="EPO117" s="222"/>
      <c r="EPP117" s="222"/>
      <c r="EPQ117" s="222"/>
      <c r="EPR117" s="222"/>
      <c r="EPS117" s="222"/>
      <c r="EPT117" s="222"/>
      <c r="EPU117" s="222"/>
      <c r="EPV117" s="222"/>
      <c r="EPW117" s="222"/>
      <c r="EPX117" s="222"/>
      <c r="EPY117" s="222"/>
      <c r="EPZ117" s="222"/>
      <c r="EQA117" s="222"/>
      <c r="EQB117" s="222"/>
      <c r="EQC117" s="222"/>
      <c r="EQD117" s="222"/>
      <c r="EQE117" s="222"/>
      <c r="EQF117" s="222"/>
      <c r="EQG117" s="222"/>
      <c r="EQH117" s="222"/>
      <c r="EQI117" s="222"/>
      <c r="EQJ117" s="222"/>
      <c r="EQK117" s="222"/>
      <c r="EQL117" s="222"/>
      <c r="EQM117" s="222"/>
      <c r="EQN117" s="222"/>
      <c r="EQO117" s="222"/>
      <c r="EQP117" s="222"/>
      <c r="EQQ117" s="222"/>
      <c r="EQR117" s="222"/>
      <c r="EQS117" s="222"/>
      <c r="EQT117" s="222"/>
      <c r="EQU117" s="222"/>
      <c r="EQV117" s="222"/>
      <c r="EQW117" s="222"/>
      <c r="EQX117" s="222"/>
      <c r="EQY117" s="222"/>
      <c r="EQZ117" s="222"/>
      <c r="ERA117" s="222"/>
      <c r="ERB117" s="222"/>
      <c r="ERC117" s="222"/>
      <c r="ERD117" s="222"/>
      <c r="ERE117" s="222"/>
      <c r="ERF117" s="222"/>
      <c r="ERG117" s="222"/>
      <c r="ERH117" s="222"/>
      <c r="ERI117" s="222"/>
      <c r="ERJ117" s="222"/>
      <c r="ERK117" s="222"/>
      <c r="ERL117" s="222"/>
      <c r="ERM117" s="222"/>
      <c r="ERN117" s="222"/>
      <c r="ERO117" s="222"/>
      <c r="ERP117" s="222"/>
      <c r="ERQ117" s="222"/>
      <c r="ERR117" s="222"/>
      <c r="ERS117" s="222"/>
      <c r="ERT117" s="222"/>
      <c r="ERU117" s="222"/>
      <c r="ERV117" s="222"/>
      <c r="ERW117" s="222"/>
      <c r="ERX117" s="222"/>
      <c r="ERY117" s="222"/>
      <c r="ERZ117" s="222"/>
      <c r="ESA117" s="222"/>
      <c r="ESB117" s="222"/>
      <c r="ESC117" s="222"/>
      <c r="ESD117" s="222"/>
      <c r="ESE117" s="222"/>
      <c r="ESF117" s="222"/>
      <c r="ESG117" s="222"/>
      <c r="ESH117" s="222"/>
      <c r="ESI117" s="222"/>
      <c r="ESJ117" s="222"/>
      <c r="ESK117" s="222"/>
      <c r="ESL117" s="222"/>
      <c r="ESM117" s="222"/>
      <c r="ESN117" s="222"/>
      <c r="ESO117" s="222"/>
      <c r="ESP117" s="222"/>
      <c r="ESQ117" s="222"/>
      <c r="ESR117" s="222"/>
      <c r="ESS117" s="222"/>
      <c r="EST117" s="222"/>
      <c r="ESU117" s="222"/>
      <c r="ESV117" s="222"/>
      <c r="ESW117" s="222"/>
      <c r="ESX117" s="222"/>
      <c r="ESY117" s="222"/>
      <c r="ESZ117" s="222"/>
      <c r="ETA117" s="222"/>
      <c r="ETB117" s="222"/>
      <c r="ETC117" s="222"/>
      <c r="ETD117" s="222"/>
      <c r="ETE117" s="222"/>
      <c r="ETF117" s="222"/>
      <c r="ETG117" s="222"/>
      <c r="ETH117" s="222"/>
      <c r="ETI117" s="222"/>
      <c r="ETJ117" s="222"/>
      <c r="ETK117" s="222"/>
      <c r="ETL117" s="222"/>
      <c r="ETM117" s="222"/>
      <c r="ETN117" s="222"/>
      <c r="ETO117" s="222"/>
      <c r="ETP117" s="222"/>
      <c r="ETQ117" s="222"/>
      <c r="ETR117" s="222"/>
      <c r="ETS117" s="222"/>
      <c r="ETT117" s="222"/>
      <c r="ETU117" s="222"/>
      <c r="ETV117" s="222"/>
      <c r="ETW117" s="222"/>
      <c r="ETX117" s="222"/>
      <c r="ETY117" s="222"/>
      <c r="ETZ117" s="222"/>
      <c r="EUA117" s="222"/>
      <c r="EUB117" s="222"/>
      <c r="EUC117" s="222"/>
      <c r="EUD117" s="222"/>
      <c r="EUE117" s="222"/>
      <c r="EUF117" s="222"/>
      <c r="EUG117" s="222"/>
      <c r="EUH117" s="222"/>
      <c r="EUI117" s="222"/>
      <c r="EUJ117" s="222"/>
      <c r="EUK117" s="222"/>
      <c r="EUL117" s="222"/>
      <c r="EUM117" s="222"/>
      <c r="EUN117" s="222"/>
      <c r="EUO117" s="222"/>
      <c r="EUP117" s="222"/>
      <c r="EUQ117" s="222"/>
      <c r="EUR117" s="222"/>
      <c r="EUS117" s="222"/>
      <c r="EUT117" s="222"/>
      <c r="EUU117" s="222"/>
      <c r="EUV117" s="222"/>
      <c r="EUW117" s="222"/>
      <c r="EUX117" s="222"/>
      <c r="EUY117" s="222"/>
      <c r="EUZ117" s="222"/>
      <c r="EVA117" s="222"/>
      <c r="EVB117" s="222"/>
      <c r="EVC117" s="222"/>
      <c r="EVD117" s="222"/>
      <c r="EVE117" s="222"/>
      <c r="EVF117" s="222"/>
      <c r="EVG117" s="222"/>
      <c r="EVH117" s="222"/>
      <c r="EVI117" s="222"/>
      <c r="EVJ117" s="222"/>
      <c r="EVK117" s="222"/>
      <c r="EVL117" s="222"/>
      <c r="EVM117" s="222"/>
      <c r="EVN117" s="222"/>
      <c r="EVO117" s="222"/>
      <c r="EVP117" s="222"/>
      <c r="EVQ117" s="222"/>
      <c r="EVR117" s="222"/>
      <c r="EVS117" s="222"/>
      <c r="EVT117" s="222"/>
      <c r="EVU117" s="222"/>
      <c r="EVV117" s="222"/>
      <c r="EVW117" s="222"/>
      <c r="EVX117" s="222"/>
      <c r="EVY117" s="222"/>
      <c r="EVZ117" s="222"/>
      <c r="EWA117" s="222"/>
      <c r="EWB117" s="222"/>
      <c r="EWC117" s="222"/>
      <c r="EWD117" s="222"/>
      <c r="EWE117" s="222"/>
      <c r="EWF117" s="222"/>
      <c r="EWG117" s="222"/>
      <c r="EWH117" s="222"/>
      <c r="EWI117" s="222"/>
      <c r="EWJ117" s="222"/>
      <c r="EWK117" s="222"/>
      <c r="EWL117" s="222"/>
      <c r="EWM117" s="222"/>
      <c r="EWN117" s="222"/>
      <c r="EWO117" s="222"/>
      <c r="EWP117" s="222"/>
      <c r="EWQ117" s="222"/>
      <c r="EWR117" s="222"/>
      <c r="EWS117" s="222"/>
      <c r="EWT117" s="222"/>
      <c r="EWU117" s="222"/>
      <c r="EWV117" s="222"/>
      <c r="EWW117" s="222"/>
      <c r="EWX117" s="222"/>
      <c r="EWY117" s="222"/>
      <c r="EWZ117" s="222"/>
      <c r="EXA117" s="222"/>
      <c r="EXB117" s="222"/>
      <c r="EXC117" s="222"/>
      <c r="EXD117" s="222"/>
      <c r="EXE117" s="222"/>
      <c r="EXF117" s="222"/>
      <c r="EXG117" s="222"/>
      <c r="EXH117" s="222"/>
      <c r="EXI117" s="222"/>
      <c r="EXJ117" s="222"/>
      <c r="EXK117" s="222"/>
      <c r="EXL117" s="222"/>
      <c r="EXM117" s="222"/>
      <c r="EXN117" s="222"/>
      <c r="EXO117" s="222"/>
      <c r="EXP117" s="222"/>
      <c r="EXQ117" s="222"/>
      <c r="EXR117" s="222"/>
      <c r="EXS117" s="222"/>
      <c r="EXT117" s="222"/>
      <c r="EXU117" s="222"/>
      <c r="EXV117" s="222"/>
      <c r="EXW117" s="222"/>
      <c r="EXX117" s="222"/>
      <c r="EXY117" s="222"/>
      <c r="EXZ117" s="222"/>
      <c r="EYA117" s="222"/>
      <c r="EYB117" s="222"/>
      <c r="EYC117" s="222"/>
      <c r="EYD117" s="222"/>
      <c r="EYE117" s="222"/>
      <c r="EYF117" s="222"/>
      <c r="EYG117" s="222"/>
      <c r="EYH117" s="222"/>
      <c r="EYI117" s="222"/>
      <c r="EYJ117" s="222"/>
      <c r="EYK117" s="222"/>
      <c r="EYL117" s="222"/>
      <c r="EYM117" s="222"/>
      <c r="EYN117" s="222"/>
      <c r="EYO117" s="222"/>
      <c r="EYP117" s="222"/>
      <c r="EYQ117" s="222"/>
      <c r="EYR117" s="222"/>
      <c r="EYS117" s="222"/>
      <c r="EYT117" s="222"/>
      <c r="EYU117" s="222"/>
      <c r="EYV117" s="222"/>
      <c r="EYW117" s="222"/>
      <c r="EYX117" s="222"/>
      <c r="EYY117" s="222"/>
      <c r="EYZ117" s="222"/>
      <c r="EZA117" s="222"/>
      <c r="EZB117" s="222"/>
      <c r="EZC117" s="222"/>
      <c r="EZD117" s="222"/>
      <c r="EZE117" s="222"/>
      <c r="EZF117" s="222"/>
      <c r="EZG117" s="222"/>
      <c r="EZH117" s="222"/>
      <c r="EZI117" s="222"/>
      <c r="EZJ117" s="222"/>
      <c r="EZK117" s="222"/>
      <c r="EZL117" s="222"/>
      <c r="EZM117" s="222"/>
      <c r="EZN117" s="222"/>
      <c r="EZO117" s="222"/>
      <c r="EZP117" s="222"/>
      <c r="EZQ117" s="222"/>
      <c r="EZR117" s="222"/>
      <c r="EZS117" s="222"/>
      <c r="EZT117" s="222"/>
      <c r="EZU117" s="222"/>
      <c r="EZV117" s="222"/>
      <c r="EZW117" s="222"/>
      <c r="EZX117" s="222"/>
      <c r="EZY117" s="222"/>
      <c r="EZZ117" s="222"/>
      <c r="FAA117" s="222"/>
      <c r="FAB117" s="222"/>
      <c r="FAC117" s="222"/>
      <c r="FAD117" s="222"/>
      <c r="FAE117" s="222"/>
      <c r="FAF117" s="222"/>
      <c r="FAG117" s="222"/>
      <c r="FAH117" s="222"/>
      <c r="FAI117" s="222"/>
      <c r="FAJ117" s="222"/>
      <c r="FAK117" s="222"/>
      <c r="FAL117" s="222"/>
      <c r="FAM117" s="222"/>
      <c r="FAN117" s="222"/>
      <c r="FAO117" s="222"/>
      <c r="FAP117" s="222"/>
      <c r="FAQ117" s="222"/>
      <c r="FAR117" s="222"/>
      <c r="FAS117" s="222"/>
      <c r="FAT117" s="222"/>
      <c r="FAU117" s="222"/>
      <c r="FAV117" s="222"/>
      <c r="FAW117" s="222"/>
      <c r="FAX117" s="222"/>
      <c r="FAY117" s="222"/>
      <c r="FAZ117" s="222"/>
      <c r="FBA117" s="222"/>
      <c r="FBB117" s="222"/>
      <c r="FBC117" s="222"/>
      <c r="FBD117" s="222"/>
      <c r="FBE117" s="222"/>
      <c r="FBF117" s="222"/>
      <c r="FBG117" s="222"/>
      <c r="FBH117" s="222"/>
      <c r="FBI117" s="222"/>
      <c r="FBJ117" s="222"/>
      <c r="FBK117" s="222"/>
      <c r="FBL117" s="222"/>
      <c r="FBM117" s="222"/>
      <c r="FBN117" s="222"/>
      <c r="FBO117" s="222"/>
      <c r="FBP117" s="222"/>
      <c r="FBQ117" s="222"/>
      <c r="FBR117" s="222"/>
      <c r="FBS117" s="222"/>
      <c r="FBT117" s="222"/>
      <c r="FBU117" s="222"/>
      <c r="FBV117" s="222"/>
      <c r="FBW117" s="222"/>
      <c r="FBX117" s="222"/>
      <c r="FBY117" s="222"/>
      <c r="FBZ117" s="222"/>
      <c r="FCA117" s="222"/>
      <c r="FCB117" s="222"/>
      <c r="FCC117" s="222"/>
      <c r="FCD117" s="222"/>
      <c r="FCE117" s="222"/>
      <c r="FCF117" s="222"/>
      <c r="FCG117" s="222"/>
      <c r="FCH117" s="222"/>
      <c r="FCI117" s="222"/>
      <c r="FCJ117" s="222"/>
      <c r="FCK117" s="222"/>
      <c r="FCL117" s="222"/>
      <c r="FCM117" s="222"/>
      <c r="FCN117" s="222"/>
      <c r="FCO117" s="222"/>
      <c r="FCP117" s="222"/>
      <c r="FCQ117" s="222"/>
      <c r="FCR117" s="222"/>
      <c r="FCS117" s="222"/>
      <c r="FCT117" s="222"/>
      <c r="FCU117" s="222"/>
      <c r="FCV117" s="222"/>
      <c r="FCW117" s="222"/>
      <c r="FCX117" s="222"/>
      <c r="FCY117" s="222"/>
      <c r="FCZ117" s="222"/>
      <c r="FDA117" s="222"/>
      <c r="FDB117" s="222"/>
      <c r="FDC117" s="222"/>
      <c r="FDD117" s="222"/>
      <c r="FDE117" s="222"/>
      <c r="FDF117" s="222"/>
      <c r="FDG117" s="222"/>
      <c r="FDH117" s="222"/>
      <c r="FDI117" s="222"/>
      <c r="FDJ117" s="222"/>
      <c r="FDK117" s="222"/>
      <c r="FDL117" s="222"/>
      <c r="FDM117" s="222"/>
      <c r="FDN117" s="222"/>
      <c r="FDO117" s="222"/>
      <c r="FDP117" s="222"/>
      <c r="FDQ117" s="222"/>
      <c r="FDR117" s="222"/>
      <c r="FDS117" s="222"/>
      <c r="FDT117" s="222"/>
      <c r="FDU117" s="222"/>
      <c r="FDV117" s="222"/>
      <c r="FDW117" s="222"/>
      <c r="FDX117" s="222"/>
      <c r="FDY117" s="222"/>
      <c r="FDZ117" s="222"/>
      <c r="FEA117" s="222"/>
      <c r="FEB117" s="222"/>
      <c r="FEC117" s="222"/>
      <c r="FED117" s="222"/>
      <c r="FEE117" s="222"/>
      <c r="FEF117" s="222"/>
      <c r="FEG117" s="222"/>
      <c r="FEH117" s="222"/>
      <c r="FEI117" s="222"/>
      <c r="FEJ117" s="222"/>
      <c r="FEK117" s="222"/>
      <c r="FEL117" s="222"/>
      <c r="FEM117" s="222"/>
      <c r="FEN117" s="222"/>
      <c r="FEO117" s="222"/>
      <c r="FEP117" s="222"/>
      <c r="FEQ117" s="222"/>
      <c r="FER117" s="222"/>
      <c r="FES117" s="222"/>
      <c r="FET117" s="222"/>
      <c r="FEU117" s="222"/>
      <c r="FEV117" s="222"/>
      <c r="FEW117" s="222"/>
      <c r="FEX117" s="222"/>
      <c r="FEY117" s="222"/>
      <c r="FEZ117" s="222"/>
      <c r="FFA117" s="222"/>
      <c r="FFB117" s="222"/>
      <c r="FFC117" s="222"/>
      <c r="FFD117" s="222"/>
      <c r="FFE117" s="222"/>
      <c r="FFF117" s="222"/>
      <c r="FFG117" s="222"/>
      <c r="FFH117" s="222"/>
      <c r="FFI117" s="222"/>
      <c r="FFJ117" s="222"/>
      <c r="FFK117" s="222"/>
      <c r="FFL117" s="222"/>
      <c r="FFM117" s="222"/>
      <c r="FFN117" s="222"/>
      <c r="FFO117" s="222"/>
      <c r="FFP117" s="222"/>
      <c r="FFQ117" s="222"/>
      <c r="FFR117" s="222"/>
      <c r="FFS117" s="222"/>
      <c r="FFT117" s="222"/>
      <c r="FFU117" s="222"/>
      <c r="FFV117" s="222"/>
      <c r="FFW117" s="222"/>
      <c r="FFX117" s="222"/>
      <c r="FFY117" s="222"/>
      <c r="FFZ117" s="222"/>
      <c r="FGA117" s="222"/>
      <c r="FGB117" s="222"/>
      <c r="FGC117" s="222"/>
      <c r="FGD117" s="222"/>
      <c r="FGE117" s="222"/>
      <c r="FGF117" s="222"/>
      <c r="FGG117" s="222"/>
      <c r="FGH117" s="222"/>
      <c r="FGI117" s="222"/>
      <c r="FGJ117" s="222"/>
      <c r="FGK117" s="222"/>
      <c r="FGL117" s="222"/>
      <c r="FGM117" s="222"/>
      <c r="FGN117" s="222"/>
      <c r="FGO117" s="222"/>
      <c r="FGP117" s="222"/>
      <c r="FGQ117" s="222"/>
      <c r="FGR117" s="222"/>
      <c r="FGS117" s="222"/>
      <c r="FGT117" s="222"/>
      <c r="FGU117" s="222"/>
      <c r="FGV117" s="222"/>
      <c r="FGW117" s="222"/>
      <c r="FGX117" s="222"/>
      <c r="FGY117" s="222"/>
      <c r="FGZ117" s="222"/>
      <c r="FHA117" s="222"/>
      <c r="FHB117" s="222"/>
      <c r="FHC117" s="222"/>
      <c r="FHD117" s="222"/>
      <c r="FHE117" s="222"/>
      <c r="FHF117" s="222"/>
      <c r="FHG117" s="222"/>
      <c r="FHH117" s="222"/>
      <c r="FHI117" s="222"/>
      <c r="FHJ117" s="222"/>
      <c r="FHK117" s="222"/>
      <c r="FHL117" s="222"/>
      <c r="FHM117" s="222"/>
      <c r="FHN117" s="222"/>
      <c r="FHO117" s="222"/>
      <c r="FHP117" s="222"/>
      <c r="FHQ117" s="222"/>
      <c r="FHR117" s="222"/>
      <c r="FHS117" s="222"/>
      <c r="FHT117" s="222"/>
      <c r="FHU117" s="222"/>
      <c r="FHV117" s="222"/>
      <c r="FHW117" s="222"/>
      <c r="FHX117" s="222"/>
      <c r="FHY117" s="222"/>
      <c r="FHZ117" s="222"/>
      <c r="FIA117" s="222"/>
      <c r="FIB117" s="222"/>
      <c r="FIC117" s="222"/>
      <c r="FID117" s="222"/>
      <c r="FIE117" s="222"/>
      <c r="FIF117" s="222"/>
      <c r="FIG117" s="222"/>
      <c r="FIH117" s="222"/>
      <c r="FII117" s="222"/>
      <c r="FIJ117" s="222"/>
      <c r="FIK117" s="222"/>
      <c r="FIL117" s="222"/>
      <c r="FIM117" s="222"/>
      <c r="FIN117" s="222"/>
      <c r="FIO117" s="222"/>
      <c r="FIP117" s="222"/>
      <c r="FIQ117" s="222"/>
      <c r="FIR117" s="222"/>
      <c r="FIS117" s="222"/>
      <c r="FIT117" s="222"/>
      <c r="FIU117" s="222"/>
      <c r="FIV117" s="222"/>
      <c r="FIW117" s="222"/>
      <c r="FIX117" s="222"/>
      <c r="FIY117" s="222"/>
      <c r="FIZ117" s="222"/>
      <c r="FJA117" s="222"/>
      <c r="FJB117" s="222"/>
      <c r="FJC117" s="222"/>
      <c r="FJD117" s="222"/>
      <c r="FJE117" s="222"/>
      <c r="FJF117" s="222"/>
      <c r="FJG117" s="222"/>
      <c r="FJH117" s="222"/>
      <c r="FJI117" s="222"/>
      <c r="FJJ117" s="222"/>
      <c r="FJK117" s="222"/>
      <c r="FJL117" s="222"/>
      <c r="FJM117" s="222"/>
      <c r="FJN117" s="222"/>
      <c r="FJO117" s="222"/>
      <c r="FJP117" s="222"/>
      <c r="FJQ117" s="222"/>
      <c r="FJR117" s="222"/>
      <c r="FJS117" s="222"/>
      <c r="FJT117" s="222"/>
      <c r="FJU117" s="222"/>
      <c r="FJV117" s="222"/>
      <c r="FJW117" s="222"/>
      <c r="FJX117" s="222"/>
      <c r="FJY117" s="222"/>
      <c r="FJZ117" s="222"/>
      <c r="FKA117" s="222"/>
      <c r="FKB117" s="222"/>
      <c r="FKC117" s="222"/>
      <c r="FKD117" s="222"/>
      <c r="FKE117" s="222"/>
      <c r="FKF117" s="222"/>
      <c r="FKG117" s="222"/>
      <c r="FKH117" s="222"/>
      <c r="FKI117" s="222"/>
      <c r="FKJ117" s="222"/>
      <c r="FKK117" s="222"/>
      <c r="FKL117" s="222"/>
      <c r="FKM117" s="222"/>
      <c r="FKN117" s="222"/>
      <c r="FKO117" s="222"/>
      <c r="FKP117" s="222"/>
      <c r="FKQ117" s="222"/>
      <c r="FKR117" s="222"/>
      <c r="FKS117" s="222"/>
      <c r="FKT117" s="222"/>
      <c r="FKU117" s="222"/>
      <c r="FKV117" s="222"/>
      <c r="FKW117" s="222"/>
      <c r="FKX117" s="222"/>
      <c r="FKY117" s="222"/>
      <c r="FKZ117" s="222"/>
      <c r="FLA117" s="222"/>
      <c r="FLB117" s="222"/>
      <c r="FLC117" s="222"/>
      <c r="FLD117" s="222"/>
      <c r="FLE117" s="222"/>
      <c r="FLF117" s="222"/>
      <c r="FLG117" s="222"/>
      <c r="FLH117" s="222"/>
      <c r="FLI117" s="222"/>
      <c r="FLJ117" s="222"/>
      <c r="FLK117" s="222"/>
      <c r="FLL117" s="222"/>
      <c r="FLM117" s="222"/>
      <c r="FLN117" s="222"/>
      <c r="FLO117" s="222"/>
      <c r="FLP117" s="222"/>
      <c r="FLQ117" s="222"/>
      <c r="FLR117" s="222"/>
      <c r="FLS117" s="222"/>
      <c r="FLT117" s="222"/>
      <c r="FLU117" s="222"/>
      <c r="FLV117" s="222"/>
      <c r="FLW117" s="222"/>
      <c r="FLX117" s="222"/>
      <c r="FLY117" s="222"/>
      <c r="FLZ117" s="222"/>
      <c r="FMA117" s="222"/>
      <c r="FMB117" s="222"/>
      <c r="FMC117" s="222"/>
      <c r="FMD117" s="222"/>
      <c r="FME117" s="222"/>
      <c r="FMF117" s="222"/>
      <c r="FMG117" s="222"/>
      <c r="FMH117" s="222"/>
      <c r="FMI117" s="222"/>
      <c r="FMJ117" s="222"/>
      <c r="FMK117" s="222"/>
      <c r="FML117" s="222"/>
      <c r="FMM117" s="222"/>
      <c r="FMN117" s="222"/>
      <c r="FMO117" s="222"/>
      <c r="FMP117" s="222"/>
      <c r="FMQ117" s="222"/>
      <c r="FMR117" s="222"/>
      <c r="FMS117" s="222"/>
      <c r="FMT117" s="222"/>
      <c r="FMU117" s="222"/>
      <c r="FMV117" s="222"/>
      <c r="FMW117" s="222"/>
      <c r="FMX117" s="222"/>
      <c r="FMY117" s="222"/>
      <c r="FMZ117" s="222"/>
      <c r="FNA117" s="222"/>
      <c r="FNB117" s="222"/>
      <c r="FNC117" s="222"/>
      <c r="FND117" s="222"/>
      <c r="FNE117" s="222"/>
      <c r="FNF117" s="222"/>
      <c r="FNG117" s="222"/>
      <c r="FNH117" s="222"/>
      <c r="FNI117" s="222"/>
      <c r="FNJ117" s="222"/>
      <c r="FNK117" s="222"/>
      <c r="FNL117" s="222"/>
      <c r="FNM117" s="222"/>
      <c r="FNN117" s="222"/>
      <c r="FNO117" s="222"/>
      <c r="FNP117" s="222"/>
      <c r="FNQ117" s="222"/>
      <c r="FNR117" s="222"/>
      <c r="FNS117" s="222"/>
      <c r="FNT117" s="222"/>
      <c r="FNU117" s="222"/>
      <c r="FNV117" s="222"/>
      <c r="FNW117" s="222"/>
      <c r="FNX117" s="222"/>
      <c r="FNY117" s="222"/>
      <c r="FNZ117" s="222"/>
      <c r="FOA117" s="222"/>
      <c r="FOB117" s="222"/>
      <c r="FOC117" s="222"/>
      <c r="FOD117" s="222"/>
      <c r="FOE117" s="222"/>
      <c r="FOF117" s="222"/>
      <c r="FOG117" s="222"/>
      <c r="FOH117" s="222"/>
      <c r="FOI117" s="222"/>
      <c r="FOJ117" s="222"/>
      <c r="FOK117" s="222"/>
      <c r="FOL117" s="222"/>
      <c r="FOM117" s="222"/>
      <c r="FON117" s="222"/>
      <c r="FOO117" s="222"/>
      <c r="FOP117" s="222"/>
      <c r="FOQ117" s="222"/>
      <c r="FOR117" s="222"/>
      <c r="FOS117" s="222"/>
      <c r="FOT117" s="222"/>
      <c r="FOU117" s="222"/>
      <c r="FOV117" s="222"/>
      <c r="FOW117" s="222"/>
      <c r="FOX117" s="222"/>
      <c r="FOY117" s="222"/>
      <c r="FOZ117" s="222"/>
      <c r="FPA117" s="222"/>
      <c r="FPB117" s="222"/>
      <c r="FPC117" s="222"/>
      <c r="FPD117" s="222"/>
      <c r="FPE117" s="222"/>
      <c r="FPF117" s="222"/>
      <c r="FPG117" s="222"/>
      <c r="FPH117" s="222"/>
      <c r="FPI117" s="222"/>
      <c r="FPJ117" s="222"/>
      <c r="FPK117" s="222"/>
      <c r="FPL117" s="222"/>
      <c r="FPM117" s="222"/>
      <c r="FPN117" s="222"/>
      <c r="FPO117" s="222"/>
      <c r="FPP117" s="222"/>
      <c r="FPQ117" s="222"/>
      <c r="FPR117" s="222"/>
      <c r="FPS117" s="222"/>
      <c r="FPT117" s="222"/>
      <c r="FPU117" s="222"/>
      <c r="FPV117" s="222"/>
      <c r="FPW117" s="222"/>
      <c r="FPX117" s="222"/>
      <c r="FPY117" s="222"/>
      <c r="FPZ117" s="222"/>
      <c r="FQA117" s="222"/>
      <c r="FQB117" s="222"/>
      <c r="FQC117" s="222"/>
      <c r="FQD117" s="222"/>
      <c r="FQE117" s="222"/>
      <c r="FQF117" s="222"/>
      <c r="FQG117" s="222"/>
      <c r="FQH117" s="222"/>
      <c r="FQI117" s="222"/>
      <c r="FQJ117" s="222"/>
      <c r="FQK117" s="222"/>
      <c r="FQL117" s="222"/>
      <c r="FQM117" s="222"/>
      <c r="FQN117" s="222"/>
      <c r="FQO117" s="222"/>
      <c r="FQP117" s="222"/>
      <c r="FQQ117" s="222"/>
      <c r="FQR117" s="222"/>
      <c r="FQS117" s="222"/>
      <c r="FQT117" s="222"/>
      <c r="FQU117" s="222"/>
      <c r="FQV117" s="222"/>
      <c r="FQW117" s="222"/>
      <c r="FQX117" s="222"/>
      <c r="FQY117" s="222"/>
      <c r="FQZ117" s="222"/>
      <c r="FRA117" s="222"/>
      <c r="FRB117" s="222"/>
      <c r="FRC117" s="222"/>
      <c r="FRD117" s="222"/>
      <c r="FRE117" s="222"/>
      <c r="FRF117" s="222"/>
      <c r="FRG117" s="222"/>
      <c r="FRH117" s="222"/>
      <c r="FRI117" s="222"/>
      <c r="FRJ117" s="222"/>
      <c r="FRK117" s="222"/>
      <c r="FRL117" s="222"/>
      <c r="FRM117" s="222"/>
      <c r="FRN117" s="222"/>
      <c r="FRO117" s="222"/>
      <c r="FRP117" s="222"/>
      <c r="FRQ117" s="222"/>
      <c r="FRR117" s="222"/>
      <c r="FRS117" s="222"/>
      <c r="FRT117" s="222"/>
      <c r="FRU117" s="222"/>
      <c r="FRV117" s="222"/>
      <c r="FRW117" s="222"/>
      <c r="FRX117" s="222"/>
      <c r="FRY117" s="222"/>
      <c r="FRZ117" s="222"/>
      <c r="FSA117" s="222"/>
      <c r="FSB117" s="222"/>
      <c r="FSC117" s="222"/>
      <c r="FSD117" s="222"/>
      <c r="FSE117" s="222"/>
      <c r="FSF117" s="222"/>
      <c r="FSG117" s="222"/>
      <c r="FSH117" s="222"/>
      <c r="FSI117" s="222"/>
      <c r="FSJ117" s="222"/>
      <c r="FSK117" s="222"/>
      <c r="FSL117" s="222"/>
      <c r="FSM117" s="222"/>
      <c r="FSN117" s="222"/>
      <c r="FSO117" s="222"/>
      <c r="FSP117" s="222"/>
      <c r="FSQ117" s="222"/>
      <c r="FSR117" s="222"/>
      <c r="FSS117" s="222"/>
      <c r="FST117" s="222"/>
      <c r="FSU117" s="222"/>
      <c r="FSV117" s="222"/>
      <c r="FSW117" s="222"/>
      <c r="FSX117" s="222"/>
      <c r="FSY117" s="222"/>
      <c r="FSZ117" s="222"/>
      <c r="FTA117" s="222"/>
      <c r="FTB117" s="222"/>
      <c r="FTC117" s="222"/>
      <c r="FTD117" s="222"/>
      <c r="FTE117" s="222"/>
      <c r="FTF117" s="222"/>
      <c r="FTG117" s="222"/>
      <c r="FTH117" s="222"/>
      <c r="FTI117" s="222"/>
      <c r="FTJ117" s="222"/>
      <c r="FTK117" s="222"/>
      <c r="FTL117" s="222"/>
      <c r="FTM117" s="222"/>
      <c r="FTN117" s="222"/>
      <c r="FTO117" s="222"/>
      <c r="FTP117" s="222"/>
      <c r="FTQ117" s="222"/>
      <c r="FTR117" s="222"/>
      <c r="FTS117" s="222"/>
      <c r="FTT117" s="222"/>
      <c r="FTU117" s="222"/>
      <c r="FTV117" s="222"/>
      <c r="FTW117" s="222"/>
      <c r="FTX117" s="222"/>
      <c r="FTY117" s="222"/>
      <c r="FTZ117" s="222"/>
      <c r="FUA117" s="222"/>
      <c r="FUB117" s="222"/>
      <c r="FUC117" s="222"/>
      <c r="FUD117" s="222"/>
      <c r="FUE117" s="222"/>
      <c r="FUF117" s="222"/>
      <c r="FUG117" s="222"/>
      <c r="FUH117" s="222"/>
      <c r="FUI117" s="222"/>
      <c r="FUJ117" s="222"/>
      <c r="FUK117" s="222"/>
      <c r="FUL117" s="222"/>
      <c r="FUM117" s="222"/>
      <c r="FUN117" s="222"/>
      <c r="FUO117" s="222"/>
      <c r="FUP117" s="222"/>
      <c r="FUQ117" s="222"/>
      <c r="FUR117" s="222"/>
      <c r="FUS117" s="222"/>
      <c r="FUT117" s="222"/>
      <c r="FUU117" s="222"/>
      <c r="FUV117" s="222"/>
      <c r="FUW117" s="222"/>
      <c r="FUX117" s="222"/>
      <c r="FUY117" s="222"/>
      <c r="FUZ117" s="222"/>
      <c r="FVA117" s="222"/>
      <c r="FVB117" s="222"/>
      <c r="FVC117" s="222"/>
      <c r="FVD117" s="222"/>
      <c r="FVE117" s="222"/>
      <c r="FVF117" s="222"/>
      <c r="FVG117" s="222"/>
      <c r="FVH117" s="222"/>
      <c r="FVI117" s="222"/>
      <c r="FVJ117" s="222"/>
      <c r="FVK117" s="222"/>
      <c r="FVL117" s="222"/>
      <c r="FVM117" s="222"/>
      <c r="FVN117" s="222"/>
      <c r="FVO117" s="222"/>
      <c r="FVP117" s="222"/>
      <c r="FVQ117" s="222"/>
      <c r="FVR117" s="222"/>
      <c r="FVS117" s="222"/>
      <c r="FVT117" s="222"/>
      <c r="FVU117" s="222"/>
      <c r="FVV117" s="222"/>
      <c r="FVW117" s="222"/>
      <c r="FVX117" s="222"/>
      <c r="FVY117" s="222"/>
      <c r="FVZ117" s="222"/>
      <c r="FWA117" s="222"/>
      <c r="FWB117" s="222"/>
      <c r="FWC117" s="222"/>
      <c r="FWD117" s="222"/>
      <c r="FWE117" s="222"/>
      <c r="FWF117" s="222"/>
      <c r="FWG117" s="222"/>
      <c r="FWH117" s="222"/>
      <c r="FWI117" s="222"/>
      <c r="FWJ117" s="222"/>
      <c r="FWK117" s="222"/>
      <c r="FWL117" s="222"/>
      <c r="FWM117" s="222"/>
      <c r="FWN117" s="222"/>
      <c r="FWO117" s="222"/>
      <c r="FWP117" s="222"/>
      <c r="FWQ117" s="222"/>
      <c r="FWR117" s="222"/>
      <c r="FWS117" s="222"/>
      <c r="FWT117" s="222"/>
      <c r="FWU117" s="222"/>
      <c r="FWV117" s="222"/>
      <c r="FWW117" s="222"/>
      <c r="FWX117" s="222"/>
      <c r="FWY117" s="222"/>
      <c r="FWZ117" s="222"/>
      <c r="FXA117" s="222"/>
      <c r="FXB117" s="222"/>
      <c r="FXC117" s="222"/>
      <c r="FXD117" s="222"/>
      <c r="FXE117" s="222"/>
      <c r="FXF117" s="222"/>
      <c r="FXG117" s="222"/>
      <c r="FXH117" s="222"/>
      <c r="FXI117" s="222"/>
      <c r="FXJ117" s="222"/>
      <c r="FXK117" s="222"/>
      <c r="FXL117" s="222"/>
      <c r="FXM117" s="222"/>
      <c r="FXN117" s="222"/>
      <c r="FXO117" s="222"/>
      <c r="FXP117" s="222"/>
      <c r="FXQ117" s="222"/>
      <c r="FXR117" s="222"/>
      <c r="FXS117" s="222"/>
      <c r="FXT117" s="222"/>
      <c r="FXU117" s="222"/>
      <c r="FXV117" s="222"/>
      <c r="FXW117" s="222"/>
      <c r="FXX117" s="222"/>
      <c r="FXY117" s="222"/>
      <c r="FXZ117" s="222"/>
      <c r="FYA117" s="222"/>
      <c r="FYB117" s="222"/>
      <c r="FYC117" s="222"/>
      <c r="FYD117" s="222"/>
      <c r="FYE117" s="222"/>
      <c r="FYF117" s="222"/>
      <c r="FYG117" s="222"/>
      <c r="FYH117" s="222"/>
      <c r="FYI117" s="222"/>
      <c r="FYJ117" s="222"/>
      <c r="FYK117" s="222"/>
      <c r="FYL117" s="222"/>
      <c r="FYM117" s="222"/>
      <c r="FYN117" s="222"/>
      <c r="FYO117" s="222"/>
      <c r="FYP117" s="222"/>
      <c r="FYQ117" s="222"/>
      <c r="FYR117" s="222"/>
      <c r="FYS117" s="222"/>
      <c r="FYT117" s="222"/>
      <c r="FYU117" s="222"/>
      <c r="FYV117" s="222"/>
      <c r="FYW117" s="222"/>
      <c r="FYX117" s="222"/>
      <c r="FYY117" s="222"/>
      <c r="FYZ117" s="222"/>
      <c r="FZA117" s="222"/>
      <c r="FZB117" s="222"/>
      <c r="FZC117" s="222"/>
      <c r="FZD117" s="222"/>
      <c r="FZE117" s="222"/>
      <c r="FZF117" s="222"/>
      <c r="FZG117" s="222"/>
      <c r="FZH117" s="222"/>
      <c r="FZI117" s="222"/>
      <c r="FZJ117" s="222"/>
      <c r="FZK117" s="222"/>
      <c r="FZL117" s="222"/>
      <c r="FZM117" s="222"/>
      <c r="FZN117" s="222"/>
      <c r="FZO117" s="222"/>
      <c r="FZP117" s="222"/>
      <c r="FZQ117" s="222"/>
      <c r="FZR117" s="222"/>
      <c r="FZS117" s="222"/>
      <c r="FZT117" s="222"/>
      <c r="FZU117" s="222"/>
      <c r="FZV117" s="222"/>
      <c r="FZW117" s="222"/>
      <c r="FZX117" s="222"/>
      <c r="FZY117" s="222"/>
      <c r="FZZ117" s="222"/>
      <c r="GAA117" s="222"/>
      <c r="GAB117" s="222"/>
      <c r="GAC117" s="222"/>
      <c r="GAD117" s="222"/>
      <c r="GAE117" s="222"/>
      <c r="GAF117" s="222"/>
      <c r="GAG117" s="222"/>
      <c r="GAH117" s="222"/>
      <c r="GAI117" s="222"/>
      <c r="GAJ117" s="222"/>
      <c r="GAK117" s="222"/>
      <c r="GAL117" s="222"/>
      <c r="GAM117" s="222"/>
      <c r="GAN117" s="222"/>
      <c r="GAO117" s="222"/>
      <c r="GAP117" s="222"/>
      <c r="GAQ117" s="222"/>
      <c r="GAR117" s="222"/>
      <c r="GAS117" s="222"/>
      <c r="GAT117" s="222"/>
      <c r="GAU117" s="222"/>
      <c r="GAV117" s="222"/>
      <c r="GAW117" s="222"/>
      <c r="GAX117" s="222"/>
      <c r="GAY117" s="222"/>
      <c r="GAZ117" s="222"/>
      <c r="GBA117" s="222"/>
      <c r="GBB117" s="222"/>
      <c r="GBC117" s="222"/>
      <c r="GBD117" s="222"/>
      <c r="GBE117" s="222"/>
      <c r="GBF117" s="222"/>
      <c r="GBG117" s="222"/>
      <c r="GBH117" s="222"/>
      <c r="GBI117" s="222"/>
      <c r="GBJ117" s="222"/>
      <c r="GBK117" s="222"/>
      <c r="GBL117" s="222"/>
      <c r="GBM117" s="222"/>
      <c r="GBN117" s="222"/>
      <c r="GBO117" s="222"/>
      <c r="GBP117" s="222"/>
      <c r="GBQ117" s="222"/>
      <c r="GBR117" s="222"/>
      <c r="GBS117" s="222"/>
      <c r="GBT117" s="222"/>
      <c r="GBU117" s="222"/>
      <c r="GBV117" s="222"/>
      <c r="GBW117" s="222"/>
      <c r="GBX117" s="222"/>
      <c r="GBY117" s="222"/>
      <c r="GBZ117" s="222"/>
      <c r="GCA117" s="222"/>
      <c r="GCB117" s="222"/>
      <c r="GCC117" s="222"/>
      <c r="GCD117" s="222"/>
      <c r="GCE117" s="222"/>
      <c r="GCF117" s="222"/>
      <c r="GCG117" s="222"/>
      <c r="GCH117" s="222"/>
      <c r="GCI117" s="222"/>
      <c r="GCJ117" s="222"/>
      <c r="GCK117" s="222"/>
      <c r="GCL117" s="222"/>
      <c r="GCM117" s="222"/>
      <c r="GCN117" s="222"/>
      <c r="GCO117" s="222"/>
      <c r="GCP117" s="222"/>
      <c r="GCQ117" s="222"/>
      <c r="GCR117" s="222"/>
      <c r="GCS117" s="222"/>
      <c r="GCT117" s="222"/>
      <c r="GCU117" s="222"/>
      <c r="GCV117" s="222"/>
      <c r="GCW117" s="222"/>
      <c r="GCX117" s="222"/>
      <c r="GCY117" s="222"/>
      <c r="GCZ117" s="222"/>
      <c r="GDA117" s="222"/>
      <c r="GDB117" s="222"/>
      <c r="GDC117" s="222"/>
      <c r="GDD117" s="222"/>
      <c r="GDE117" s="222"/>
      <c r="GDF117" s="222"/>
      <c r="GDG117" s="222"/>
      <c r="GDH117" s="222"/>
      <c r="GDI117" s="222"/>
      <c r="GDJ117" s="222"/>
      <c r="GDK117" s="222"/>
      <c r="GDL117" s="222"/>
      <c r="GDM117" s="222"/>
      <c r="GDN117" s="222"/>
      <c r="GDO117" s="222"/>
      <c r="GDP117" s="222"/>
      <c r="GDQ117" s="222"/>
      <c r="GDR117" s="222"/>
      <c r="GDS117" s="222"/>
      <c r="GDT117" s="222"/>
      <c r="GDU117" s="222"/>
      <c r="GDV117" s="222"/>
      <c r="GDW117" s="222"/>
      <c r="GDX117" s="222"/>
      <c r="GDY117" s="222"/>
      <c r="GDZ117" s="222"/>
      <c r="GEA117" s="222"/>
      <c r="GEB117" s="222"/>
      <c r="GEC117" s="222"/>
      <c r="GED117" s="222"/>
      <c r="GEE117" s="222"/>
      <c r="GEF117" s="222"/>
      <c r="GEG117" s="222"/>
      <c r="GEH117" s="222"/>
      <c r="GEI117" s="222"/>
      <c r="GEJ117" s="222"/>
      <c r="GEK117" s="222"/>
      <c r="GEL117" s="222"/>
      <c r="GEM117" s="222"/>
      <c r="GEN117" s="222"/>
      <c r="GEO117" s="222"/>
      <c r="GEP117" s="222"/>
      <c r="GEQ117" s="222"/>
      <c r="GER117" s="222"/>
      <c r="GES117" s="222"/>
      <c r="GET117" s="222"/>
      <c r="GEU117" s="222"/>
      <c r="GEV117" s="222"/>
      <c r="GEW117" s="222"/>
      <c r="GEX117" s="222"/>
      <c r="GEY117" s="222"/>
      <c r="GEZ117" s="222"/>
      <c r="GFA117" s="222"/>
      <c r="GFB117" s="222"/>
      <c r="GFC117" s="222"/>
      <c r="GFD117" s="222"/>
      <c r="GFE117" s="222"/>
      <c r="GFF117" s="222"/>
      <c r="GFG117" s="222"/>
      <c r="GFH117" s="222"/>
      <c r="GFI117" s="222"/>
      <c r="GFJ117" s="222"/>
      <c r="GFK117" s="222"/>
      <c r="GFL117" s="222"/>
      <c r="GFM117" s="222"/>
      <c r="GFN117" s="222"/>
      <c r="GFO117" s="222"/>
      <c r="GFP117" s="222"/>
      <c r="GFQ117" s="222"/>
      <c r="GFR117" s="222"/>
      <c r="GFS117" s="222"/>
      <c r="GFT117" s="222"/>
      <c r="GFU117" s="222"/>
      <c r="GFV117" s="222"/>
      <c r="GFW117" s="222"/>
      <c r="GFX117" s="222"/>
      <c r="GFY117" s="222"/>
      <c r="GFZ117" s="222"/>
      <c r="GGA117" s="222"/>
      <c r="GGB117" s="222"/>
      <c r="GGC117" s="222"/>
      <c r="GGD117" s="222"/>
      <c r="GGE117" s="222"/>
      <c r="GGF117" s="222"/>
      <c r="GGG117" s="222"/>
      <c r="GGH117" s="222"/>
      <c r="GGI117" s="222"/>
      <c r="GGJ117" s="222"/>
      <c r="GGK117" s="222"/>
      <c r="GGL117" s="222"/>
      <c r="GGM117" s="222"/>
      <c r="GGN117" s="222"/>
      <c r="GGO117" s="222"/>
      <c r="GGP117" s="222"/>
      <c r="GGQ117" s="222"/>
      <c r="GGR117" s="222"/>
      <c r="GGS117" s="222"/>
      <c r="GGT117" s="222"/>
      <c r="GGU117" s="222"/>
      <c r="GGV117" s="222"/>
      <c r="GGW117" s="222"/>
      <c r="GGX117" s="222"/>
      <c r="GGY117" s="222"/>
      <c r="GGZ117" s="222"/>
      <c r="GHA117" s="222"/>
      <c r="GHB117" s="222"/>
      <c r="GHC117" s="222"/>
      <c r="GHD117" s="222"/>
      <c r="GHE117" s="222"/>
      <c r="GHF117" s="222"/>
      <c r="GHG117" s="222"/>
      <c r="GHH117" s="222"/>
      <c r="GHI117" s="222"/>
      <c r="GHJ117" s="222"/>
      <c r="GHK117" s="222"/>
      <c r="GHL117" s="222"/>
      <c r="GHM117" s="222"/>
      <c r="GHN117" s="222"/>
      <c r="GHO117" s="222"/>
      <c r="GHP117" s="222"/>
      <c r="GHQ117" s="222"/>
      <c r="GHR117" s="222"/>
      <c r="GHS117" s="222"/>
      <c r="GHT117" s="222"/>
      <c r="GHU117" s="222"/>
      <c r="GHV117" s="222"/>
      <c r="GHW117" s="222"/>
      <c r="GHX117" s="222"/>
      <c r="GHY117" s="222"/>
      <c r="GHZ117" s="222"/>
      <c r="GIA117" s="222"/>
      <c r="GIB117" s="222"/>
      <c r="GIC117" s="222"/>
      <c r="GID117" s="222"/>
      <c r="GIE117" s="222"/>
      <c r="GIF117" s="222"/>
      <c r="GIG117" s="222"/>
      <c r="GIH117" s="222"/>
      <c r="GII117" s="222"/>
      <c r="GIJ117" s="222"/>
      <c r="GIK117" s="222"/>
      <c r="GIL117" s="222"/>
      <c r="GIM117" s="222"/>
      <c r="GIN117" s="222"/>
      <c r="GIO117" s="222"/>
      <c r="GIP117" s="222"/>
      <c r="GIQ117" s="222"/>
      <c r="GIR117" s="222"/>
      <c r="GIS117" s="222"/>
      <c r="GIT117" s="222"/>
      <c r="GIU117" s="222"/>
      <c r="GIV117" s="222"/>
      <c r="GIW117" s="222"/>
      <c r="GIX117" s="222"/>
      <c r="GIY117" s="222"/>
      <c r="GIZ117" s="222"/>
      <c r="GJA117" s="222"/>
      <c r="GJB117" s="222"/>
      <c r="GJC117" s="222"/>
      <c r="GJD117" s="222"/>
      <c r="GJE117" s="222"/>
      <c r="GJF117" s="222"/>
      <c r="GJG117" s="222"/>
      <c r="GJH117" s="222"/>
      <c r="GJI117" s="222"/>
      <c r="GJJ117" s="222"/>
      <c r="GJK117" s="222"/>
      <c r="GJL117" s="222"/>
      <c r="GJM117" s="222"/>
      <c r="GJN117" s="222"/>
      <c r="GJO117" s="222"/>
      <c r="GJP117" s="222"/>
      <c r="GJQ117" s="222"/>
      <c r="GJR117" s="222"/>
      <c r="GJS117" s="222"/>
      <c r="GJT117" s="222"/>
      <c r="GJU117" s="222"/>
      <c r="GJV117" s="222"/>
      <c r="GJW117" s="222"/>
      <c r="GJX117" s="222"/>
      <c r="GJY117" s="222"/>
      <c r="GJZ117" s="222"/>
      <c r="GKA117" s="222"/>
      <c r="GKB117" s="222"/>
      <c r="GKC117" s="222"/>
      <c r="GKD117" s="222"/>
      <c r="GKE117" s="222"/>
      <c r="GKF117" s="222"/>
      <c r="GKG117" s="222"/>
      <c r="GKH117" s="222"/>
      <c r="GKI117" s="222"/>
      <c r="GKJ117" s="222"/>
      <c r="GKK117" s="222"/>
      <c r="GKL117" s="222"/>
      <c r="GKM117" s="222"/>
      <c r="GKN117" s="222"/>
      <c r="GKO117" s="222"/>
      <c r="GKP117" s="222"/>
      <c r="GKQ117" s="222"/>
      <c r="GKR117" s="222"/>
      <c r="GKS117" s="222"/>
      <c r="GKT117" s="222"/>
      <c r="GKU117" s="222"/>
      <c r="GKV117" s="222"/>
      <c r="GKW117" s="222"/>
      <c r="GKX117" s="222"/>
      <c r="GKY117" s="222"/>
      <c r="GKZ117" s="222"/>
      <c r="GLA117" s="222"/>
      <c r="GLB117" s="222"/>
      <c r="GLC117" s="222"/>
      <c r="GLD117" s="222"/>
      <c r="GLE117" s="222"/>
      <c r="GLF117" s="222"/>
      <c r="GLG117" s="222"/>
      <c r="GLH117" s="222"/>
      <c r="GLI117" s="222"/>
      <c r="GLJ117" s="222"/>
      <c r="GLK117" s="222"/>
      <c r="GLL117" s="222"/>
      <c r="GLM117" s="222"/>
      <c r="GLN117" s="222"/>
      <c r="GLO117" s="222"/>
      <c r="GLP117" s="222"/>
      <c r="GLQ117" s="222"/>
      <c r="GLR117" s="222"/>
      <c r="GLS117" s="222"/>
      <c r="GLT117" s="222"/>
      <c r="GLU117" s="222"/>
      <c r="GLV117" s="222"/>
      <c r="GLW117" s="222"/>
      <c r="GLX117" s="222"/>
      <c r="GLY117" s="222"/>
      <c r="GLZ117" s="222"/>
      <c r="GMA117" s="222"/>
      <c r="GMB117" s="222"/>
      <c r="GMC117" s="222"/>
      <c r="GMD117" s="222"/>
      <c r="GME117" s="222"/>
      <c r="GMF117" s="222"/>
      <c r="GMG117" s="222"/>
      <c r="GMH117" s="222"/>
      <c r="GMI117" s="222"/>
      <c r="GMJ117" s="222"/>
      <c r="GMK117" s="222"/>
      <c r="GML117" s="222"/>
      <c r="GMM117" s="222"/>
      <c r="GMN117" s="222"/>
      <c r="GMO117" s="222"/>
      <c r="GMP117" s="222"/>
      <c r="GMQ117" s="222"/>
      <c r="GMR117" s="222"/>
      <c r="GMS117" s="222"/>
      <c r="GMT117" s="222"/>
      <c r="GMU117" s="222"/>
      <c r="GMV117" s="222"/>
      <c r="GMW117" s="222"/>
      <c r="GMX117" s="222"/>
      <c r="GMY117" s="222"/>
      <c r="GMZ117" s="222"/>
      <c r="GNA117" s="222"/>
      <c r="GNB117" s="222"/>
      <c r="GNC117" s="222"/>
      <c r="GND117" s="222"/>
      <c r="GNE117" s="222"/>
      <c r="GNF117" s="222"/>
      <c r="GNG117" s="222"/>
      <c r="GNH117" s="222"/>
      <c r="GNI117" s="222"/>
      <c r="GNJ117" s="222"/>
      <c r="GNK117" s="222"/>
      <c r="GNL117" s="222"/>
      <c r="GNM117" s="222"/>
      <c r="GNN117" s="222"/>
      <c r="GNO117" s="222"/>
      <c r="GNP117" s="222"/>
      <c r="GNQ117" s="222"/>
      <c r="GNR117" s="222"/>
      <c r="GNS117" s="222"/>
      <c r="GNT117" s="222"/>
      <c r="GNU117" s="222"/>
      <c r="GNV117" s="222"/>
      <c r="GNW117" s="222"/>
      <c r="GNX117" s="222"/>
      <c r="GNY117" s="222"/>
      <c r="GNZ117" s="222"/>
      <c r="GOA117" s="222"/>
      <c r="GOB117" s="222"/>
      <c r="GOC117" s="222"/>
      <c r="GOD117" s="222"/>
      <c r="GOE117" s="222"/>
      <c r="GOF117" s="222"/>
      <c r="GOG117" s="222"/>
      <c r="GOH117" s="222"/>
      <c r="GOI117" s="222"/>
      <c r="GOJ117" s="222"/>
      <c r="GOK117" s="222"/>
      <c r="GOL117" s="222"/>
      <c r="GOM117" s="222"/>
      <c r="GON117" s="222"/>
      <c r="GOO117" s="222"/>
      <c r="GOP117" s="222"/>
      <c r="GOQ117" s="222"/>
      <c r="GOR117" s="222"/>
      <c r="GOS117" s="222"/>
      <c r="GOT117" s="222"/>
      <c r="GOU117" s="222"/>
      <c r="GOV117" s="222"/>
      <c r="GOW117" s="222"/>
      <c r="GOX117" s="222"/>
      <c r="GOY117" s="222"/>
      <c r="GOZ117" s="222"/>
      <c r="GPA117" s="222"/>
      <c r="GPB117" s="222"/>
      <c r="GPC117" s="222"/>
      <c r="GPD117" s="222"/>
      <c r="GPE117" s="222"/>
      <c r="GPF117" s="222"/>
      <c r="GPG117" s="222"/>
      <c r="GPH117" s="222"/>
      <c r="GPI117" s="222"/>
      <c r="GPJ117" s="222"/>
      <c r="GPK117" s="222"/>
      <c r="GPL117" s="222"/>
      <c r="GPM117" s="222"/>
      <c r="GPN117" s="222"/>
      <c r="GPO117" s="222"/>
      <c r="GPP117" s="222"/>
      <c r="GPQ117" s="222"/>
      <c r="GPR117" s="222"/>
      <c r="GPS117" s="222"/>
      <c r="GPT117" s="222"/>
      <c r="GPU117" s="222"/>
      <c r="GPV117" s="222"/>
      <c r="GPW117" s="222"/>
      <c r="GPX117" s="222"/>
      <c r="GPY117" s="222"/>
      <c r="GPZ117" s="222"/>
      <c r="GQA117" s="222"/>
      <c r="GQB117" s="222"/>
      <c r="GQC117" s="222"/>
      <c r="GQD117" s="222"/>
      <c r="GQE117" s="222"/>
      <c r="GQF117" s="222"/>
      <c r="GQG117" s="222"/>
      <c r="GQH117" s="222"/>
      <c r="GQI117" s="222"/>
      <c r="GQJ117" s="222"/>
      <c r="GQK117" s="222"/>
      <c r="GQL117" s="222"/>
      <c r="GQM117" s="222"/>
      <c r="GQN117" s="222"/>
      <c r="GQO117" s="222"/>
      <c r="GQP117" s="222"/>
      <c r="GQQ117" s="222"/>
      <c r="GQR117" s="222"/>
      <c r="GQS117" s="222"/>
      <c r="GQT117" s="222"/>
      <c r="GQU117" s="222"/>
      <c r="GQV117" s="222"/>
      <c r="GQW117" s="222"/>
      <c r="GQX117" s="222"/>
      <c r="GQY117" s="222"/>
      <c r="GQZ117" s="222"/>
      <c r="GRA117" s="222"/>
      <c r="GRB117" s="222"/>
      <c r="GRC117" s="222"/>
      <c r="GRD117" s="222"/>
      <c r="GRE117" s="222"/>
      <c r="GRF117" s="222"/>
      <c r="GRG117" s="222"/>
      <c r="GRH117" s="222"/>
      <c r="GRI117" s="222"/>
      <c r="GRJ117" s="222"/>
      <c r="GRK117" s="222"/>
      <c r="GRL117" s="222"/>
      <c r="GRM117" s="222"/>
      <c r="GRN117" s="222"/>
      <c r="GRO117" s="222"/>
      <c r="GRP117" s="222"/>
      <c r="GRQ117" s="222"/>
      <c r="GRR117" s="222"/>
      <c r="GRS117" s="222"/>
      <c r="GRT117" s="222"/>
      <c r="GRU117" s="222"/>
      <c r="GRV117" s="222"/>
      <c r="GRW117" s="222"/>
      <c r="GRX117" s="222"/>
      <c r="GRY117" s="222"/>
      <c r="GRZ117" s="222"/>
      <c r="GSA117" s="222"/>
      <c r="GSB117" s="222"/>
      <c r="GSC117" s="222"/>
      <c r="GSD117" s="222"/>
      <c r="GSE117" s="222"/>
      <c r="GSF117" s="222"/>
      <c r="GSG117" s="222"/>
      <c r="GSH117" s="222"/>
      <c r="GSI117" s="222"/>
      <c r="GSJ117" s="222"/>
      <c r="GSK117" s="222"/>
      <c r="GSL117" s="222"/>
      <c r="GSM117" s="222"/>
      <c r="GSN117" s="222"/>
      <c r="GSO117" s="222"/>
      <c r="GSP117" s="222"/>
      <c r="GSQ117" s="222"/>
      <c r="GSR117" s="222"/>
      <c r="GSS117" s="222"/>
      <c r="GST117" s="222"/>
      <c r="GSU117" s="222"/>
      <c r="GSV117" s="222"/>
      <c r="GSW117" s="222"/>
      <c r="GSX117" s="222"/>
      <c r="GSY117" s="222"/>
      <c r="GSZ117" s="222"/>
      <c r="GTA117" s="222"/>
      <c r="GTB117" s="222"/>
      <c r="GTC117" s="222"/>
      <c r="GTD117" s="222"/>
      <c r="GTE117" s="222"/>
      <c r="GTF117" s="222"/>
      <c r="GTG117" s="222"/>
      <c r="GTH117" s="222"/>
      <c r="GTI117" s="222"/>
      <c r="GTJ117" s="222"/>
      <c r="GTK117" s="222"/>
      <c r="GTL117" s="222"/>
      <c r="GTM117" s="222"/>
      <c r="GTN117" s="222"/>
      <c r="GTO117" s="222"/>
      <c r="GTP117" s="222"/>
      <c r="GTQ117" s="222"/>
      <c r="GTR117" s="222"/>
      <c r="GTS117" s="222"/>
      <c r="GTT117" s="222"/>
      <c r="GTU117" s="222"/>
      <c r="GTV117" s="222"/>
      <c r="GTW117" s="222"/>
      <c r="GTX117" s="222"/>
      <c r="GTY117" s="222"/>
      <c r="GTZ117" s="222"/>
      <c r="GUA117" s="222"/>
      <c r="GUB117" s="222"/>
      <c r="GUC117" s="222"/>
      <c r="GUD117" s="222"/>
      <c r="GUE117" s="222"/>
      <c r="GUF117" s="222"/>
      <c r="GUG117" s="222"/>
      <c r="GUH117" s="222"/>
      <c r="GUI117" s="222"/>
      <c r="GUJ117" s="222"/>
      <c r="GUK117" s="222"/>
      <c r="GUL117" s="222"/>
      <c r="GUM117" s="222"/>
      <c r="GUN117" s="222"/>
      <c r="GUO117" s="222"/>
      <c r="GUP117" s="222"/>
      <c r="GUQ117" s="222"/>
      <c r="GUR117" s="222"/>
      <c r="GUS117" s="222"/>
      <c r="GUT117" s="222"/>
      <c r="GUU117" s="222"/>
      <c r="GUV117" s="222"/>
      <c r="GUW117" s="222"/>
      <c r="GUX117" s="222"/>
      <c r="GUY117" s="222"/>
      <c r="GUZ117" s="222"/>
      <c r="GVA117" s="222"/>
      <c r="GVB117" s="222"/>
      <c r="GVC117" s="222"/>
      <c r="GVD117" s="222"/>
      <c r="GVE117" s="222"/>
      <c r="GVF117" s="222"/>
      <c r="GVG117" s="222"/>
      <c r="GVH117" s="222"/>
      <c r="GVI117" s="222"/>
      <c r="GVJ117" s="222"/>
      <c r="GVK117" s="222"/>
      <c r="GVL117" s="222"/>
      <c r="GVM117" s="222"/>
      <c r="GVN117" s="222"/>
      <c r="GVO117" s="222"/>
      <c r="GVP117" s="222"/>
      <c r="GVQ117" s="222"/>
      <c r="GVR117" s="222"/>
      <c r="GVS117" s="222"/>
      <c r="GVT117" s="222"/>
      <c r="GVU117" s="222"/>
      <c r="GVV117" s="222"/>
      <c r="GVW117" s="222"/>
      <c r="GVX117" s="222"/>
      <c r="GVY117" s="222"/>
      <c r="GVZ117" s="222"/>
      <c r="GWA117" s="222"/>
      <c r="GWB117" s="222"/>
      <c r="GWC117" s="222"/>
      <c r="GWD117" s="222"/>
      <c r="GWE117" s="222"/>
      <c r="GWF117" s="222"/>
      <c r="GWG117" s="222"/>
      <c r="GWH117" s="222"/>
      <c r="GWI117" s="222"/>
      <c r="GWJ117" s="222"/>
      <c r="GWK117" s="222"/>
      <c r="GWL117" s="222"/>
      <c r="GWM117" s="222"/>
      <c r="GWN117" s="222"/>
      <c r="GWO117" s="222"/>
      <c r="GWP117" s="222"/>
      <c r="GWQ117" s="222"/>
      <c r="GWR117" s="222"/>
      <c r="GWS117" s="222"/>
      <c r="GWT117" s="222"/>
      <c r="GWU117" s="222"/>
      <c r="GWV117" s="222"/>
      <c r="GWW117" s="222"/>
      <c r="GWX117" s="222"/>
      <c r="GWY117" s="222"/>
      <c r="GWZ117" s="222"/>
      <c r="GXA117" s="222"/>
      <c r="GXB117" s="222"/>
      <c r="GXC117" s="222"/>
      <c r="GXD117" s="222"/>
      <c r="GXE117" s="222"/>
      <c r="GXF117" s="222"/>
      <c r="GXG117" s="222"/>
      <c r="GXH117" s="222"/>
      <c r="GXI117" s="222"/>
      <c r="GXJ117" s="222"/>
      <c r="GXK117" s="222"/>
      <c r="GXL117" s="222"/>
      <c r="GXM117" s="222"/>
      <c r="GXN117" s="222"/>
      <c r="GXO117" s="222"/>
      <c r="GXP117" s="222"/>
      <c r="GXQ117" s="222"/>
      <c r="GXR117" s="222"/>
      <c r="GXS117" s="222"/>
      <c r="GXT117" s="222"/>
      <c r="GXU117" s="222"/>
      <c r="GXV117" s="222"/>
      <c r="GXW117" s="222"/>
      <c r="GXX117" s="222"/>
      <c r="GXY117" s="222"/>
      <c r="GXZ117" s="222"/>
      <c r="GYA117" s="222"/>
      <c r="GYB117" s="222"/>
      <c r="GYC117" s="222"/>
      <c r="GYD117" s="222"/>
      <c r="GYE117" s="222"/>
      <c r="GYF117" s="222"/>
      <c r="GYG117" s="222"/>
      <c r="GYH117" s="222"/>
      <c r="GYI117" s="222"/>
      <c r="GYJ117" s="222"/>
      <c r="GYK117" s="222"/>
      <c r="GYL117" s="222"/>
      <c r="GYM117" s="222"/>
      <c r="GYN117" s="222"/>
      <c r="GYO117" s="222"/>
      <c r="GYP117" s="222"/>
      <c r="GYQ117" s="222"/>
      <c r="GYR117" s="222"/>
      <c r="GYS117" s="222"/>
      <c r="GYT117" s="222"/>
      <c r="GYU117" s="222"/>
      <c r="GYV117" s="222"/>
      <c r="GYW117" s="222"/>
      <c r="GYX117" s="222"/>
      <c r="GYY117" s="222"/>
      <c r="GYZ117" s="222"/>
      <c r="GZA117" s="222"/>
      <c r="GZB117" s="222"/>
      <c r="GZC117" s="222"/>
      <c r="GZD117" s="222"/>
      <c r="GZE117" s="222"/>
      <c r="GZF117" s="222"/>
      <c r="GZG117" s="222"/>
      <c r="GZH117" s="222"/>
      <c r="GZI117" s="222"/>
      <c r="GZJ117" s="222"/>
      <c r="GZK117" s="222"/>
      <c r="GZL117" s="222"/>
      <c r="GZM117" s="222"/>
      <c r="GZN117" s="222"/>
      <c r="GZO117" s="222"/>
      <c r="GZP117" s="222"/>
      <c r="GZQ117" s="222"/>
      <c r="GZR117" s="222"/>
      <c r="GZS117" s="222"/>
      <c r="GZT117" s="222"/>
      <c r="GZU117" s="222"/>
      <c r="GZV117" s="222"/>
      <c r="GZW117" s="222"/>
      <c r="GZX117" s="222"/>
      <c r="GZY117" s="222"/>
      <c r="GZZ117" s="222"/>
      <c r="HAA117" s="222"/>
      <c r="HAB117" s="222"/>
      <c r="HAC117" s="222"/>
      <c r="HAD117" s="222"/>
      <c r="HAE117" s="222"/>
      <c r="HAF117" s="222"/>
      <c r="HAG117" s="222"/>
      <c r="HAH117" s="222"/>
      <c r="HAI117" s="222"/>
      <c r="HAJ117" s="222"/>
      <c r="HAK117" s="222"/>
      <c r="HAL117" s="222"/>
      <c r="HAM117" s="222"/>
      <c r="HAN117" s="222"/>
      <c r="HAO117" s="222"/>
      <c r="HAP117" s="222"/>
      <c r="HAQ117" s="222"/>
      <c r="HAR117" s="222"/>
      <c r="HAS117" s="222"/>
      <c r="HAT117" s="222"/>
      <c r="HAU117" s="222"/>
      <c r="HAV117" s="222"/>
      <c r="HAW117" s="222"/>
      <c r="HAX117" s="222"/>
      <c r="HAY117" s="222"/>
      <c r="HAZ117" s="222"/>
      <c r="HBA117" s="222"/>
      <c r="HBB117" s="222"/>
      <c r="HBC117" s="222"/>
      <c r="HBD117" s="222"/>
      <c r="HBE117" s="222"/>
      <c r="HBF117" s="222"/>
      <c r="HBG117" s="222"/>
      <c r="HBH117" s="222"/>
      <c r="HBI117" s="222"/>
      <c r="HBJ117" s="222"/>
      <c r="HBK117" s="222"/>
      <c r="HBL117" s="222"/>
      <c r="HBM117" s="222"/>
      <c r="HBN117" s="222"/>
      <c r="HBO117" s="222"/>
      <c r="HBP117" s="222"/>
      <c r="HBQ117" s="222"/>
      <c r="HBR117" s="222"/>
      <c r="HBS117" s="222"/>
      <c r="HBT117" s="222"/>
      <c r="HBU117" s="222"/>
      <c r="HBV117" s="222"/>
      <c r="HBW117" s="222"/>
      <c r="HBX117" s="222"/>
      <c r="HBY117" s="222"/>
      <c r="HBZ117" s="222"/>
      <c r="HCA117" s="222"/>
      <c r="HCB117" s="222"/>
      <c r="HCC117" s="222"/>
      <c r="HCD117" s="222"/>
      <c r="HCE117" s="222"/>
      <c r="HCF117" s="222"/>
      <c r="HCG117" s="222"/>
      <c r="HCH117" s="222"/>
      <c r="HCI117" s="222"/>
      <c r="HCJ117" s="222"/>
      <c r="HCK117" s="222"/>
      <c r="HCL117" s="222"/>
      <c r="HCM117" s="222"/>
      <c r="HCN117" s="222"/>
      <c r="HCO117" s="222"/>
      <c r="HCP117" s="222"/>
      <c r="HCQ117" s="222"/>
      <c r="HCR117" s="222"/>
      <c r="HCS117" s="222"/>
      <c r="HCT117" s="222"/>
      <c r="HCU117" s="222"/>
      <c r="HCV117" s="222"/>
      <c r="HCW117" s="222"/>
      <c r="HCX117" s="222"/>
      <c r="HCY117" s="222"/>
      <c r="HCZ117" s="222"/>
      <c r="HDA117" s="222"/>
      <c r="HDB117" s="222"/>
      <c r="HDC117" s="222"/>
      <c r="HDD117" s="222"/>
      <c r="HDE117" s="222"/>
      <c r="HDF117" s="222"/>
      <c r="HDG117" s="222"/>
      <c r="HDH117" s="222"/>
      <c r="HDI117" s="222"/>
      <c r="HDJ117" s="222"/>
      <c r="HDK117" s="222"/>
      <c r="HDL117" s="222"/>
      <c r="HDM117" s="222"/>
      <c r="HDN117" s="222"/>
      <c r="HDO117" s="222"/>
      <c r="HDP117" s="222"/>
      <c r="HDQ117" s="222"/>
      <c r="HDR117" s="222"/>
      <c r="HDS117" s="222"/>
      <c r="HDT117" s="222"/>
      <c r="HDU117" s="222"/>
      <c r="HDV117" s="222"/>
      <c r="HDW117" s="222"/>
      <c r="HDX117" s="222"/>
      <c r="HDY117" s="222"/>
      <c r="HDZ117" s="222"/>
      <c r="HEA117" s="222"/>
      <c r="HEB117" s="222"/>
      <c r="HEC117" s="222"/>
      <c r="HED117" s="222"/>
      <c r="HEE117" s="222"/>
      <c r="HEF117" s="222"/>
      <c r="HEG117" s="222"/>
      <c r="HEH117" s="222"/>
      <c r="HEI117" s="222"/>
      <c r="HEJ117" s="222"/>
      <c r="HEK117" s="222"/>
      <c r="HEL117" s="222"/>
      <c r="HEM117" s="222"/>
      <c r="HEN117" s="222"/>
      <c r="HEO117" s="222"/>
      <c r="HEP117" s="222"/>
      <c r="HEQ117" s="222"/>
      <c r="HER117" s="222"/>
      <c r="HES117" s="222"/>
      <c r="HET117" s="222"/>
      <c r="HEU117" s="222"/>
      <c r="HEV117" s="222"/>
      <c r="HEW117" s="222"/>
      <c r="HEX117" s="222"/>
      <c r="HEY117" s="222"/>
      <c r="HEZ117" s="222"/>
      <c r="HFA117" s="222"/>
      <c r="HFB117" s="222"/>
      <c r="HFC117" s="222"/>
      <c r="HFD117" s="222"/>
      <c r="HFE117" s="222"/>
      <c r="HFF117" s="222"/>
      <c r="HFG117" s="222"/>
      <c r="HFH117" s="222"/>
      <c r="HFI117" s="222"/>
      <c r="HFJ117" s="222"/>
      <c r="HFK117" s="222"/>
      <c r="HFL117" s="222"/>
      <c r="HFM117" s="222"/>
      <c r="HFN117" s="222"/>
      <c r="HFO117" s="222"/>
      <c r="HFP117" s="222"/>
      <c r="HFQ117" s="222"/>
      <c r="HFR117" s="222"/>
      <c r="HFS117" s="222"/>
      <c r="HFT117" s="222"/>
      <c r="HFU117" s="222"/>
      <c r="HFV117" s="222"/>
      <c r="HFW117" s="222"/>
      <c r="HFX117" s="222"/>
      <c r="HFY117" s="222"/>
      <c r="HFZ117" s="222"/>
      <c r="HGA117" s="222"/>
      <c r="HGB117" s="222"/>
      <c r="HGC117" s="222"/>
      <c r="HGD117" s="222"/>
      <c r="HGE117" s="222"/>
      <c r="HGF117" s="222"/>
      <c r="HGG117" s="222"/>
      <c r="HGH117" s="222"/>
      <c r="HGI117" s="222"/>
      <c r="HGJ117" s="222"/>
      <c r="HGK117" s="222"/>
      <c r="HGL117" s="222"/>
      <c r="HGM117" s="222"/>
      <c r="HGN117" s="222"/>
      <c r="HGO117" s="222"/>
      <c r="HGP117" s="222"/>
      <c r="HGQ117" s="222"/>
      <c r="HGR117" s="222"/>
      <c r="HGS117" s="222"/>
      <c r="HGT117" s="222"/>
      <c r="HGU117" s="222"/>
      <c r="HGV117" s="222"/>
      <c r="HGW117" s="222"/>
      <c r="HGX117" s="222"/>
      <c r="HGY117" s="222"/>
      <c r="HGZ117" s="222"/>
      <c r="HHA117" s="222"/>
      <c r="HHB117" s="222"/>
      <c r="HHC117" s="222"/>
      <c r="HHD117" s="222"/>
      <c r="HHE117" s="222"/>
      <c r="HHF117" s="222"/>
      <c r="HHG117" s="222"/>
      <c r="HHH117" s="222"/>
      <c r="HHI117" s="222"/>
      <c r="HHJ117" s="222"/>
      <c r="HHK117" s="222"/>
      <c r="HHL117" s="222"/>
      <c r="HHM117" s="222"/>
      <c r="HHN117" s="222"/>
      <c r="HHO117" s="222"/>
      <c r="HHP117" s="222"/>
      <c r="HHQ117" s="222"/>
      <c r="HHR117" s="222"/>
      <c r="HHS117" s="222"/>
      <c r="HHT117" s="222"/>
      <c r="HHU117" s="222"/>
      <c r="HHV117" s="222"/>
      <c r="HHW117" s="222"/>
      <c r="HHX117" s="222"/>
      <c r="HHY117" s="222"/>
      <c r="HHZ117" s="222"/>
      <c r="HIA117" s="222"/>
      <c r="HIB117" s="222"/>
      <c r="HIC117" s="222"/>
      <c r="HID117" s="222"/>
      <c r="HIE117" s="222"/>
      <c r="HIF117" s="222"/>
      <c r="HIG117" s="222"/>
      <c r="HIH117" s="222"/>
      <c r="HII117" s="222"/>
      <c r="HIJ117" s="222"/>
      <c r="HIK117" s="222"/>
      <c r="HIL117" s="222"/>
      <c r="HIM117" s="222"/>
      <c r="HIN117" s="222"/>
      <c r="HIO117" s="222"/>
      <c r="HIP117" s="222"/>
      <c r="HIQ117" s="222"/>
      <c r="HIR117" s="222"/>
      <c r="HIS117" s="222"/>
      <c r="HIT117" s="222"/>
      <c r="HIU117" s="222"/>
      <c r="HIV117" s="222"/>
      <c r="HIW117" s="222"/>
      <c r="HIX117" s="222"/>
      <c r="HIY117" s="222"/>
      <c r="HIZ117" s="222"/>
      <c r="HJA117" s="222"/>
      <c r="HJB117" s="222"/>
      <c r="HJC117" s="222"/>
      <c r="HJD117" s="222"/>
      <c r="HJE117" s="222"/>
      <c r="HJF117" s="222"/>
      <c r="HJG117" s="222"/>
      <c r="HJH117" s="222"/>
      <c r="HJI117" s="222"/>
      <c r="HJJ117" s="222"/>
      <c r="HJK117" s="222"/>
      <c r="HJL117" s="222"/>
      <c r="HJM117" s="222"/>
      <c r="HJN117" s="222"/>
      <c r="HJO117" s="222"/>
      <c r="HJP117" s="222"/>
      <c r="HJQ117" s="222"/>
      <c r="HJR117" s="222"/>
      <c r="HJS117" s="222"/>
      <c r="HJT117" s="222"/>
      <c r="HJU117" s="222"/>
      <c r="HJV117" s="222"/>
      <c r="HJW117" s="222"/>
      <c r="HJX117" s="222"/>
      <c r="HJY117" s="222"/>
      <c r="HJZ117" s="222"/>
      <c r="HKA117" s="222"/>
      <c r="HKB117" s="222"/>
      <c r="HKC117" s="222"/>
      <c r="HKD117" s="222"/>
      <c r="HKE117" s="222"/>
      <c r="HKF117" s="222"/>
      <c r="HKG117" s="222"/>
      <c r="HKH117" s="222"/>
      <c r="HKI117" s="222"/>
      <c r="HKJ117" s="222"/>
      <c r="HKK117" s="222"/>
      <c r="HKL117" s="222"/>
      <c r="HKM117" s="222"/>
      <c r="HKN117" s="222"/>
      <c r="HKO117" s="222"/>
      <c r="HKP117" s="222"/>
      <c r="HKQ117" s="222"/>
      <c r="HKR117" s="222"/>
      <c r="HKS117" s="222"/>
      <c r="HKT117" s="222"/>
      <c r="HKU117" s="222"/>
      <c r="HKV117" s="222"/>
      <c r="HKW117" s="222"/>
      <c r="HKX117" s="222"/>
      <c r="HKY117" s="222"/>
      <c r="HKZ117" s="222"/>
      <c r="HLA117" s="222"/>
      <c r="HLB117" s="222"/>
      <c r="HLC117" s="222"/>
      <c r="HLD117" s="222"/>
      <c r="HLE117" s="222"/>
      <c r="HLF117" s="222"/>
      <c r="HLG117" s="222"/>
      <c r="HLH117" s="222"/>
      <c r="HLI117" s="222"/>
      <c r="HLJ117" s="222"/>
      <c r="HLK117" s="222"/>
      <c r="HLL117" s="222"/>
      <c r="HLM117" s="222"/>
      <c r="HLN117" s="222"/>
      <c r="HLO117" s="222"/>
      <c r="HLP117" s="222"/>
      <c r="HLQ117" s="222"/>
      <c r="HLR117" s="222"/>
      <c r="HLS117" s="222"/>
      <c r="HLT117" s="222"/>
      <c r="HLU117" s="222"/>
      <c r="HLV117" s="222"/>
      <c r="HLW117" s="222"/>
      <c r="HLX117" s="222"/>
      <c r="HLY117" s="222"/>
      <c r="HLZ117" s="222"/>
      <c r="HMA117" s="222"/>
      <c r="HMB117" s="222"/>
      <c r="HMC117" s="222"/>
      <c r="HMD117" s="222"/>
      <c r="HME117" s="222"/>
      <c r="HMF117" s="222"/>
      <c r="HMG117" s="222"/>
      <c r="HMH117" s="222"/>
      <c r="HMI117" s="222"/>
      <c r="HMJ117" s="222"/>
      <c r="HMK117" s="222"/>
      <c r="HML117" s="222"/>
      <c r="HMM117" s="222"/>
      <c r="HMN117" s="222"/>
      <c r="HMO117" s="222"/>
      <c r="HMP117" s="222"/>
      <c r="HMQ117" s="222"/>
      <c r="HMR117" s="222"/>
      <c r="HMS117" s="222"/>
      <c r="HMT117" s="222"/>
      <c r="HMU117" s="222"/>
      <c r="HMV117" s="222"/>
      <c r="HMW117" s="222"/>
      <c r="HMX117" s="222"/>
      <c r="HMY117" s="222"/>
      <c r="HMZ117" s="222"/>
      <c r="HNA117" s="222"/>
      <c r="HNB117" s="222"/>
      <c r="HNC117" s="222"/>
      <c r="HND117" s="222"/>
      <c r="HNE117" s="222"/>
      <c r="HNF117" s="222"/>
      <c r="HNG117" s="222"/>
      <c r="HNH117" s="222"/>
      <c r="HNI117" s="222"/>
      <c r="HNJ117" s="222"/>
      <c r="HNK117" s="222"/>
      <c r="HNL117" s="222"/>
      <c r="HNM117" s="222"/>
      <c r="HNN117" s="222"/>
      <c r="HNO117" s="222"/>
      <c r="HNP117" s="222"/>
      <c r="HNQ117" s="222"/>
      <c r="HNR117" s="222"/>
      <c r="HNS117" s="222"/>
      <c r="HNT117" s="222"/>
      <c r="HNU117" s="222"/>
      <c r="HNV117" s="222"/>
      <c r="HNW117" s="222"/>
      <c r="HNX117" s="222"/>
      <c r="HNY117" s="222"/>
      <c r="HNZ117" s="222"/>
      <c r="HOA117" s="222"/>
      <c r="HOB117" s="222"/>
      <c r="HOC117" s="222"/>
      <c r="HOD117" s="222"/>
      <c r="HOE117" s="222"/>
      <c r="HOF117" s="222"/>
      <c r="HOG117" s="222"/>
      <c r="HOH117" s="222"/>
      <c r="HOI117" s="222"/>
      <c r="HOJ117" s="222"/>
      <c r="HOK117" s="222"/>
      <c r="HOL117" s="222"/>
      <c r="HOM117" s="222"/>
      <c r="HON117" s="222"/>
      <c r="HOO117" s="222"/>
      <c r="HOP117" s="222"/>
      <c r="HOQ117" s="222"/>
      <c r="HOR117" s="222"/>
      <c r="HOS117" s="222"/>
      <c r="HOT117" s="222"/>
      <c r="HOU117" s="222"/>
      <c r="HOV117" s="222"/>
      <c r="HOW117" s="222"/>
      <c r="HOX117" s="222"/>
      <c r="HOY117" s="222"/>
      <c r="HOZ117" s="222"/>
      <c r="HPA117" s="222"/>
      <c r="HPB117" s="222"/>
      <c r="HPC117" s="222"/>
      <c r="HPD117" s="222"/>
      <c r="HPE117" s="222"/>
      <c r="HPF117" s="222"/>
      <c r="HPG117" s="222"/>
      <c r="HPH117" s="222"/>
      <c r="HPI117" s="222"/>
      <c r="HPJ117" s="222"/>
      <c r="HPK117" s="222"/>
      <c r="HPL117" s="222"/>
      <c r="HPM117" s="222"/>
      <c r="HPN117" s="222"/>
      <c r="HPO117" s="222"/>
      <c r="HPP117" s="222"/>
      <c r="HPQ117" s="222"/>
      <c r="HPR117" s="222"/>
      <c r="HPS117" s="222"/>
      <c r="HPT117" s="222"/>
      <c r="HPU117" s="222"/>
      <c r="HPV117" s="222"/>
      <c r="HPW117" s="222"/>
      <c r="HPX117" s="222"/>
      <c r="HPY117" s="222"/>
      <c r="HPZ117" s="222"/>
      <c r="HQA117" s="222"/>
      <c r="HQB117" s="222"/>
      <c r="HQC117" s="222"/>
      <c r="HQD117" s="222"/>
      <c r="HQE117" s="222"/>
      <c r="HQF117" s="222"/>
      <c r="HQG117" s="222"/>
      <c r="HQH117" s="222"/>
      <c r="HQI117" s="222"/>
      <c r="HQJ117" s="222"/>
      <c r="HQK117" s="222"/>
      <c r="HQL117" s="222"/>
      <c r="HQM117" s="222"/>
      <c r="HQN117" s="222"/>
      <c r="HQO117" s="222"/>
      <c r="HQP117" s="222"/>
      <c r="HQQ117" s="222"/>
      <c r="HQR117" s="222"/>
      <c r="HQS117" s="222"/>
      <c r="HQT117" s="222"/>
      <c r="HQU117" s="222"/>
      <c r="HQV117" s="222"/>
      <c r="HQW117" s="222"/>
      <c r="HQX117" s="222"/>
      <c r="HQY117" s="222"/>
      <c r="HQZ117" s="222"/>
      <c r="HRA117" s="222"/>
      <c r="HRB117" s="222"/>
      <c r="HRC117" s="222"/>
      <c r="HRD117" s="222"/>
      <c r="HRE117" s="222"/>
      <c r="HRF117" s="222"/>
      <c r="HRG117" s="222"/>
      <c r="HRH117" s="222"/>
      <c r="HRI117" s="222"/>
      <c r="HRJ117" s="222"/>
      <c r="HRK117" s="222"/>
      <c r="HRL117" s="222"/>
      <c r="HRM117" s="222"/>
      <c r="HRN117" s="222"/>
      <c r="HRO117" s="222"/>
      <c r="HRP117" s="222"/>
      <c r="HRQ117" s="222"/>
      <c r="HRR117" s="222"/>
      <c r="HRS117" s="222"/>
      <c r="HRT117" s="222"/>
      <c r="HRU117" s="222"/>
      <c r="HRV117" s="222"/>
      <c r="HRW117" s="222"/>
      <c r="HRX117" s="222"/>
      <c r="HRY117" s="222"/>
      <c r="HRZ117" s="222"/>
      <c r="HSA117" s="222"/>
      <c r="HSB117" s="222"/>
      <c r="HSC117" s="222"/>
      <c r="HSD117" s="222"/>
      <c r="HSE117" s="222"/>
      <c r="HSF117" s="222"/>
      <c r="HSG117" s="222"/>
      <c r="HSH117" s="222"/>
      <c r="HSI117" s="222"/>
      <c r="HSJ117" s="222"/>
      <c r="HSK117" s="222"/>
      <c r="HSL117" s="222"/>
      <c r="HSM117" s="222"/>
      <c r="HSN117" s="222"/>
      <c r="HSO117" s="222"/>
      <c r="HSP117" s="222"/>
      <c r="HSQ117" s="222"/>
      <c r="HSR117" s="222"/>
      <c r="HSS117" s="222"/>
      <c r="HST117" s="222"/>
      <c r="HSU117" s="222"/>
      <c r="HSV117" s="222"/>
      <c r="HSW117" s="222"/>
      <c r="HSX117" s="222"/>
      <c r="HSY117" s="222"/>
      <c r="HSZ117" s="222"/>
      <c r="HTA117" s="222"/>
      <c r="HTB117" s="222"/>
      <c r="HTC117" s="222"/>
      <c r="HTD117" s="222"/>
      <c r="HTE117" s="222"/>
      <c r="HTF117" s="222"/>
      <c r="HTG117" s="222"/>
      <c r="HTH117" s="222"/>
      <c r="HTI117" s="222"/>
      <c r="HTJ117" s="222"/>
      <c r="HTK117" s="222"/>
      <c r="HTL117" s="222"/>
      <c r="HTM117" s="222"/>
      <c r="HTN117" s="222"/>
      <c r="HTO117" s="222"/>
      <c r="HTP117" s="222"/>
      <c r="HTQ117" s="222"/>
      <c r="HTR117" s="222"/>
      <c r="HTS117" s="222"/>
      <c r="HTT117" s="222"/>
      <c r="HTU117" s="222"/>
      <c r="HTV117" s="222"/>
      <c r="HTW117" s="222"/>
      <c r="HTX117" s="222"/>
      <c r="HTY117" s="222"/>
      <c r="HTZ117" s="222"/>
      <c r="HUA117" s="222"/>
      <c r="HUB117" s="222"/>
      <c r="HUC117" s="222"/>
      <c r="HUD117" s="222"/>
      <c r="HUE117" s="222"/>
      <c r="HUF117" s="222"/>
      <c r="HUG117" s="222"/>
      <c r="HUH117" s="222"/>
      <c r="HUI117" s="222"/>
      <c r="HUJ117" s="222"/>
      <c r="HUK117" s="222"/>
      <c r="HUL117" s="222"/>
      <c r="HUM117" s="222"/>
      <c r="HUN117" s="222"/>
      <c r="HUO117" s="222"/>
      <c r="HUP117" s="222"/>
      <c r="HUQ117" s="222"/>
      <c r="HUR117" s="222"/>
      <c r="HUS117" s="222"/>
      <c r="HUT117" s="222"/>
      <c r="HUU117" s="222"/>
      <c r="HUV117" s="222"/>
      <c r="HUW117" s="222"/>
      <c r="HUX117" s="222"/>
      <c r="HUY117" s="222"/>
      <c r="HUZ117" s="222"/>
      <c r="HVA117" s="222"/>
      <c r="HVB117" s="222"/>
      <c r="HVC117" s="222"/>
      <c r="HVD117" s="222"/>
      <c r="HVE117" s="222"/>
      <c r="HVF117" s="222"/>
      <c r="HVG117" s="222"/>
      <c r="HVH117" s="222"/>
      <c r="HVI117" s="222"/>
      <c r="HVJ117" s="222"/>
      <c r="HVK117" s="222"/>
      <c r="HVL117" s="222"/>
      <c r="HVM117" s="222"/>
      <c r="HVN117" s="222"/>
      <c r="HVO117" s="222"/>
      <c r="HVP117" s="222"/>
      <c r="HVQ117" s="222"/>
      <c r="HVR117" s="222"/>
      <c r="HVS117" s="222"/>
      <c r="HVT117" s="222"/>
      <c r="HVU117" s="222"/>
      <c r="HVV117" s="222"/>
      <c r="HVW117" s="222"/>
      <c r="HVX117" s="222"/>
      <c r="HVY117" s="222"/>
      <c r="HVZ117" s="222"/>
      <c r="HWA117" s="222"/>
      <c r="HWB117" s="222"/>
      <c r="HWC117" s="222"/>
      <c r="HWD117" s="222"/>
      <c r="HWE117" s="222"/>
      <c r="HWF117" s="222"/>
      <c r="HWG117" s="222"/>
      <c r="HWH117" s="222"/>
      <c r="HWI117" s="222"/>
      <c r="HWJ117" s="222"/>
      <c r="HWK117" s="222"/>
      <c r="HWL117" s="222"/>
      <c r="HWM117" s="222"/>
      <c r="HWN117" s="222"/>
      <c r="HWO117" s="222"/>
      <c r="HWP117" s="222"/>
      <c r="HWQ117" s="222"/>
      <c r="HWR117" s="222"/>
      <c r="HWS117" s="222"/>
      <c r="HWT117" s="222"/>
      <c r="HWU117" s="222"/>
      <c r="HWV117" s="222"/>
      <c r="HWW117" s="222"/>
      <c r="HWX117" s="222"/>
      <c r="HWY117" s="222"/>
      <c r="HWZ117" s="222"/>
      <c r="HXA117" s="222"/>
      <c r="HXB117" s="222"/>
      <c r="HXC117" s="222"/>
      <c r="HXD117" s="222"/>
      <c r="HXE117" s="222"/>
      <c r="HXF117" s="222"/>
      <c r="HXG117" s="222"/>
      <c r="HXH117" s="222"/>
      <c r="HXI117" s="222"/>
      <c r="HXJ117" s="222"/>
      <c r="HXK117" s="222"/>
      <c r="HXL117" s="222"/>
      <c r="HXM117" s="222"/>
      <c r="HXN117" s="222"/>
      <c r="HXO117" s="222"/>
      <c r="HXP117" s="222"/>
      <c r="HXQ117" s="222"/>
      <c r="HXR117" s="222"/>
      <c r="HXS117" s="222"/>
      <c r="HXT117" s="222"/>
      <c r="HXU117" s="222"/>
      <c r="HXV117" s="222"/>
      <c r="HXW117" s="222"/>
      <c r="HXX117" s="222"/>
      <c r="HXY117" s="222"/>
      <c r="HXZ117" s="222"/>
      <c r="HYA117" s="222"/>
      <c r="HYB117" s="222"/>
      <c r="HYC117" s="222"/>
      <c r="HYD117" s="222"/>
      <c r="HYE117" s="222"/>
      <c r="HYF117" s="222"/>
      <c r="HYG117" s="222"/>
      <c r="HYH117" s="222"/>
      <c r="HYI117" s="222"/>
      <c r="HYJ117" s="222"/>
      <c r="HYK117" s="222"/>
      <c r="HYL117" s="222"/>
      <c r="HYM117" s="222"/>
      <c r="HYN117" s="222"/>
      <c r="HYO117" s="222"/>
      <c r="HYP117" s="222"/>
      <c r="HYQ117" s="222"/>
      <c r="HYR117" s="222"/>
      <c r="HYS117" s="222"/>
      <c r="HYT117" s="222"/>
      <c r="HYU117" s="222"/>
      <c r="HYV117" s="222"/>
      <c r="HYW117" s="222"/>
      <c r="HYX117" s="222"/>
      <c r="HYY117" s="222"/>
      <c r="HYZ117" s="222"/>
      <c r="HZA117" s="222"/>
      <c r="HZB117" s="222"/>
      <c r="HZC117" s="222"/>
      <c r="HZD117" s="222"/>
      <c r="HZE117" s="222"/>
      <c r="HZF117" s="222"/>
      <c r="HZG117" s="222"/>
      <c r="HZH117" s="222"/>
      <c r="HZI117" s="222"/>
      <c r="HZJ117" s="222"/>
      <c r="HZK117" s="222"/>
      <c r="HZL117" s="222"/>
      <c r="HZM117" s="222"/>
      <c r="HZN117" s="222"/>
      <c r="HZO117" s="222"/>
      <c r="HZP117" s="222"/>
      <c r="HZQ117" s="222"/>
      <c r="HZR117" s="222"/>
      <c r="HZS117" s="222"/>
      <c r="HZT117" s="222"/>
      <c r="HZU117" s="222"/>
      <c r="HZV117" s="222"/>
      <c r="HZW117" s="222"/>
      <c r="HZX117" s="222"/>
      <c r="HZY117" s="222"/>
      <c r="HZZ117" s="222"/>
      <c r="IAA117" s="222"/>
      <c r="IAB117" s="222"/>
      <c r="IAC117" s="222"/>
      <c r="IAD117" s="222"/>
      <c r="IAE117" s="222"/>
      <c r="IAF117" s="222"/>
      <c r="IAG117" s="222"/>
      <c r="IAH117" s="222"/>
      <c r="IAI117" s="222"/>
      <c r="IAJ117" s="222"/>
      <c r="IAK117" s="222"/>
      <c r="IAL117" s="222"/>
      <c r="IAM117" s="222"/>
      <c r="IAN117" s="222"/>
      <c r="IAO117" s="222"/>
      <c r="IAP117" s="222"/>
      <c r="IAQ117" s="222"/>
      <c r="IAR117" s="222"/>
      <c r="IAS117" s="222"/>
      <c r="IAT117" s="222"/>
      <c r="IAU117" s="222"/>
      <c r="IAV117" s="222"/>
      <c r="IAW117" s="222"/>
      <c r="IAX117" s="222"/>
      <c r="IAY117" s="222"/>
      <c r="IAZ117" s="222"/>
      <c r="IBA117" s="222"/>
      <c r="IBB117" s="222"/>
      <c r="IBC117" s="222"/>
      <c r="IBD117" s="222"/>
      <c r="IBE117" s="222"/>
      <c r="IBF117" s="222"/>
      <c r="IBG117" s="222"/>
      <c r="IBH117" s="222"/>
      <c r="IBI117" s="222"/>
      <c r="IBJ117" s="222"/>
      <c r="IBK117" s="222"/>
      <c r="IBL117" s="222"/>
      <c r="IBM117" s="222"/>
      <c r="IBN117" s="222"/>
      <c r="IBO117" s="222"/>
      <c r="IBP117" s="222"/>
      <c r="IBQ117" s="222"/>
      <c r="IBR117" s="222"/>
      <c r="IBS117" s="222"/>
      <c r="IBT117" s="222"/>
      <c r="IBU117" s="222"/>
      <c r="IBV117" s="222"/>
      <c r="IBW117" s="222"/>
      <c r="IBX117" s="222"/>
      <c r="IBY117" s="222"/>
      <c r="IBZ117" s="222"/>
      <c r="ICA117" s="222"/>
      <c r="ICB117" s="222"/>
      <c r="ICC117" s="222"/>
      <c r="ICD117" s="222"/>
      <c r="ICE117" s="222"/>
      <c r="ICF117" s="222"/>
      <c r="ICG117" s="222"/>
      <c r="ICH117" s="222"/>
      <c r="ICI117" s="222"/>
      <c r="ICJ117" s="222"/>
      <c r="ICK117" s="222"/>
      <c r="ICL117" s="222"/>
      <c r="ICM117" s="222"/>
      <c r="ICN117" s="222"/>
      <c r="ICO117" s="222"/>
      <c r="ICP117" s="222"/>
      <c r="ICQ117" s="222"/>
      <c r="ICR117" s="222"/>
      <c r="ICS117" s="222"/>
      <c r="ICT117" s="222"/>
      <c r="ICU117" s="222"/>
      <c r="ICV117" s="222"/>
      <c r="ICW117" s="222"/>
      <c r="ICX117" s="222"/>
      <c r="ICY117" s="222"/>
      <c r="ICZ117" s="222"/>
      <c r="IDA117" s="222"/>
      <c r="IDB117" s="222"/>
      <c r="IDC117" s="222"/>
      <c r="IDD117" s="222"/>
      <c r="IDE117" s="222"/>
      <c r="IDF117" s="222"/>
      <c r="IDG117" s="222"/>
      <c r="IDH117" s="222"/>
      <c r="IDI117" s="222"/>
      <c r="IDJ117" s="222"/>
      <c r="IDK117" s="222"/>
      <c r="IDL117" s="222"/>
      <c r="IDM117" s="222"/>
      <c r="IDN117" s="222"/>
      <c r="IDO117" s="222"/>
      <c r="IDP117" s="222"/>
      <c r="IDQ117" s="222"/>
      <c r="IDR117" s="222"/>
      <c r="IDS117" s="222"/>
      <c r="IDT117" s="222"/>
      <c r="IDU117" s="222"/>
      <c r="IDV117" s="222"/>
      <c r="IDW117" s="222"/>
      <c r="IDX117" s="222"/>
      <c r="IDY117" s="222"/>
      <c r="IDZ117" s="222"/>
      <c r="IEA117" s="222"/>
      <c r="IEB117" s="222"/>
      <c r="IEC117" s="222"/>
      <c r="IED117" s="222"/>
      <c r="IEE117" s="222"/>
      <c r="IEF117" s="222"/>
      <c r="IEG117" s="222"/>
      <c r="IEH117" s="222"/>
      <c r="IEI117" s="222"/>
      <c r="IEJ117" s="222"/>
      <c r="IEK117" s="222"/>
      <c r="IEL117" s="222"/>
      <c r="IEM117" s="222"/>
      <c r="IEN117" s="222"/>
      <c r="IEO117" s="222"/>
      <c r="IEP117" s="222"/>
      <c r="IEQ117" s="222"/>
      <c r="IER117" s="222"/>
      <c r="IES117" s="222"/>
      <c r="IET117" s="222"/>
      <c r="IEU117" s="222"/>
      <c r="IEV117" s="222"/>
      <c r="IEW117" s="222"/>
      <c r="IEX117" s="222"/>
      <c r="IEY117" s="222"/>
      <c r="IEZ117" s="222"/>
      <c r="IFA117" s="222"/>
      <c r="IFB117" s="222"/>
      <c r="IFC117" s="222"/>
      <c r="IFD117" s="222"/>
      <c r="IFE117" s="222"/>
      <c r="IFF117" s="222"/>
      <c r="IFG117" s="222"/>
      <c r="IFH117" s="222"/>
      <c r="IFI117" s="222"/>
      <c r="IFJ117" s="222"/>
      <c r="IFK117" s="222"/>
      <c r="IFL117" s="222"/>
      <c r="IFM117" s="222"/>
      <c r="IFN117" s="222"/>
      <c r="IFO117" s="222"/>
      <c r="IFP117" s="222"/>
      <c r="IFQ117" s="222"/>
      <c r="IFR117" s="222"/>
      <c r="IFS117" s="222"/>
      <c r="IFT117" s="222"/>
      <c r="IFU117" s="222"/>
      <c r="IFV117" s="222"/>
      <c r="IFW117" s="222"/>
      <c r="IFX117" s="222"/>
      <c r="IFY117" s="222"/>
      <c r="IFZ117" s="222"/>
      <c r="IGA117" s="222"/>
      <c r="IGB117" s="222"/>
      <c r="IGC117" s="222"/>
      <c r="IGD117" s="222"/>
      <c r="IGE117" s="222"/>
      <c r="IGF117" s="222"/>
      <c r="IGG117" s="222"/>
      <c r="IGH117" s="222"/>
      <c r="IGI117" s="222"/>
      <c r="IGJ117" s="222"/>
      <c r="IGK117" s="222"/>
      <c r="IGL117" s="222"/>
      <c r="IGM117" s="222"/>
      <c r="IGN117" s="222"/>
      <c r="IGO117" s="222"/>
      <c r="IGP117" s="222"/>
      <c r="IGQ117" s="222"/>
      <c r="IGR117" s="222"/>
      <c r="IGS117" s="222"/>
      <c r="IGT117" s="222"/>
      <c r="IGU117" s="222"/>
      <c r="IGV117" s="222"/>
      <c r="IGW117" s="222"/>
      <c r="IGX117" s="222"/>
      <c r="IGY117" s="222"/>
      <c r="IGZ117" s="222"/>
      <c r="IHA117" s="222"/>
      <c r="IHB117" s="222"/>
      <c r="IHC117" s="222"/>
      <c r="IHD117" s="222"/>
      <c r="IHE117" s="222"/>
      <c r="IHF117" s="222"/>
      <c r="IHG117" s="222"/>
      <c r="IHH117" s="222"/>
      <c r="IHI117" s="222"/>
      <c r="IHJ117" s="222"/>
      <c r="IHK117" s="222"/>
      <c r="IHL117" s="222"/>
      <c r="IHM117" s="222"/>
      <c r="IHN117" s="222"/>
      <c r="IHO117" s="222"/>
      <c r="IHP117" s="222"/>
      <c r="IHQ117" s="222"/>
      <c r="IHR117" s="222"/>
      <c r="IHS117" s="222"/>
      <c r="IHT117" s="222"/>
      <c r="IHU117" s="222"/>
      <c r="IHV117" s="222"/>
      <c r="IHW117" s="222"/>
      <c r="IHX117" s="222"/>
      <c r="IHY117" s="222"/>
      <c r="IHZ117" s="222"/>
      <c r="IIA117" s="222"/>
      <c r="IIB117" s="222"/>
      <c r="IIC117" s="222"/>
      <c r="IID117" s="222"/>
      <c r="IIE117" s="222"/>
      <c r="IIF117" s="222"/>
      <c r="IIG117" s="222"/>
      <c r="IIH117" s="222"/>
      <c r="III117" s="222"/>
      <c r="IIJ117" s="222"/>
      <c r="IIK117" s="222"/>
      <c r="IIL117" s="222"/>
      <c r="IIM117" s="222"/>
      <c r="IIN117" s="222"/>
      <c r="IIO117" s="222"/>
      <c r="IIP117" s="222"/>
      <c r="IIQ117" s="222"/>
      <c r="IIR117" s="222"/>
      <c r="IIS117" s="222"/>
      <c r="IIT117" s="222"/>
      <c r="IIU117" s="222"/>
      <c r="IIV117" s="222"/>
      <c r="IIW117" s="222"/>
      <c r="IIX117" s="222"/>
      <c r="IIY117" s="222"/>
      <c r="IIZ117" s="222"/>
      <c r="IJA117" s="222"/>
      <c r="IJB117" s="222"/>
      <c r="IJC117" s="222"/>
      <c r="IJD117" s="222"/>
      <c r="IJE117" s="222"/>
      <c r="IJF117" s="222"/>
      <c r="IJG117" s="222"/>
      <c r="IJH117" s="222"/>
      <c r="IJI117" s="222"/>
      <c r="IJJ117" s="222"/>
      <c r="IJK117" s="222"/>
      <c r="IJL117" s="222"/>
      <c r="IJM117" s="222"/>
      <c r="IJN117" s="222"/>
      <c r="IJO117" s="222"/>
      <c r="IJP117" s="222"/>
      <c r="IJQ117" s="222"/>
      <c r="IJR117" s="222"/>
      <c r="IJS117" s="222"/>
      <c r="IJT117" s="222"/>
      <c r="IJU117" s="222"/>
      <c r="IJV117" s="222"/>
      <c r="IJW117" s="222"/>
      <c r="IJX117" s="222"/>
      <c r="IJY117" s="222"/>
      <c r="IJZ117" s="222"/>
      <c r="IKA117" s="222"/>
      <c r="IKB117" s="222"/>
      <c r="IKC117" s="222"/>
      <c r="IKD117" s="222"/>
      <c r="IKE117" s="222"/>
      <c r="IKF117" s="222"/>
      <c r="IKG117" s="222"/>
      <c r="IKH117" s="222"/>
      <c r="IKI117" s="222"/>
      <c r="IKJ117" s="222"/>
      <c r="IKK117" s="222"/>
      <c r="IKL117" s="222"/>
      <c r="IKM117" s="222"/>
      <c r="IKN117" s="222"/>
      <c r="IKO117" s="222"/>
      <c r="IKP117" s="222"/>
      <c r="IKQ117" s="222"/>
      <c r="IKR117" s="222"/>
      <c r="IKS117" s="222"/>
      <c r="IKT117" s="222"/>
      <c r="IKU117" s="222"/>
      <c r="IKV117" s="222"/>
      <c r="IKW117" s="222"/>
      <c r="IKX117" s="222"/>
      <c r="IKY117" s="222"/>
      <c r="IKZ117" s="222"/>
      <c r="ILA117" s="222"/>
      <c r="ILB117" s="222"/>
      <c r="ILC117" s="222"/>
      <c r="ILD117" s="222"/>
      <c r="ILE117" s="222"/>
      <c r="ILF117" s="222"/>
      <c r="ILG117" s="222"/>
      <c r="ILH117" s="222"/>
      <c r="ILI117" s="222"/>
      <c r="ILJ117" s="222"/>
      <c r="ILK117" s="222"/>
      <c r="ILL117" s="222"/>
      <c r="ILM117" s="222"/>
      <c r="ILN117" s="222"/>
      <c r="ILO117" s="222"/>
      <c r="ILP117" s="222"/>
      <c r="ILQ117" s="222"/>
      <c r="ILR117" s="222"/>
      <c r="ILS117" s="222"/>
      <c r="ILT117" s="222"/>
      <c r="ILU117" s="222"/>
      <c r="ILV117" s="222"/>
      <c r="ILW117" s="222"/>
      <c r="ILX117" s="222"/>
      <c r="ILY117" s="222"/>
      <c r="ILZ117" s="222"/>
      <c r="IMA117" s="222"/>
      <c r="IMB117" s="222"/>
      <c r="IMC117" s="222"/>
      <c r="IMD117" s="222"/>
      <c r="IME117" s="222"/>
      <c r="IMF117" s="222"/>
      <c r="IMG117" s="222"/>
      <c r="IMH117" s="222"/>
      <c r="IMI117" s="222"/>
      <c r="IMJ117" s="222"/>
      <c r="IMK117" s="222"/>
      <c r="IML117" s="222"/>
      <c r="IMM117" s="222"/>
      <c r="IMN117" s="222"/>
      <c r="IMO117" s="222"/>
      <c r="IMP117" s="222"/>
      <c r="IMQ117" s="222"/>
      <c r="IMR117" s="222"/>
      <c r="IMS117" s="222"/>
      <c r="IMT117" s="222"/>
      <c r="IMU117" s="222"/>
      <c r="IMV117" s="222"/>
      <c r="IMW117" s="222"/>
      <c r="IMX117" s="222"/>
      <c r="IMY117" s="222"/>
      <c r="IMZ117" s="222"/>
      <c r="INA117" s="222"/>
      <c r="INB117" s="222"/>
      <c r="INC117" s="222"/>
      <c r="IND117" s="222"/>
      <c r="INE117" s="222"/>
      <c r="INF117" s="222"/>
      <c r="ING117" s="222"/>
      <c r="INH117" s="222"/>
      <c r="INI117" s="222"/>
      <c r="INJ117" s="222"/>
      <c r="INK117" s="222"/>
      <c r="INL117" s="222"/>
      <c r="INM117" s="222"/>
      <c r="INN117" s="222"/>
      <c r="INO117" s="222"/>
      <c r="INP117" s="222"/>
      <c r="INQ117" s="222"/>
      <c r="INR117" s="222"/>
      <c r="INS117" s="222"/>
      <c r="INT117" s="222"/>
      <c r="INU117" s="222"/>
      <c r="INV117" s="222"/>
      <c r="INW117" s="222"/>
      <c r="INX117" s="222"/>
      <c r="INY117" s="222"/>
      <c r="INZ117" s="222"/>
      <c r="IOA117" s="222"/>
      <c r="IOB117" s="222"/>
      <c r="IOC117" s="222"/>
      <c r="IOD117" s="222"/>
      <c r="IOE117" s="222"/>
      <c r="IOF117" s="222"/>
      <c r="IOG117" s="222"/>
      <c r="IOH117" s="222"/>
      <c r="IOI117" s="222"/>
      <c r="IOJ117" s="222"/>
      <c r="IOK117" s="222"/>
      <c r="IOL117" s="222"/>
      <c r="IOM117" s="222"/>
      <c r="ION117" s="222"/>
      <c r="IOO117" s="222"/>
      <c r="IOP117" s="222"/>
      <c r="IOQ117" s="222"/>
      <c r="IOR117" s="222"/>
      <c r="IOS117" s="222"/>
      <c r="IOT117" s="222"/>
      <c r="IOU117" s="222"/>
      <c r="IOV117" s="222"/>
      <c r="IOW117" s="222"/>
      <c r="IOX117" s="222"/>
      <c r="IOY117" s="222"/>
      <c r="IOZ117" s="222"/>
      <c r="IPA117" s="222"/>
      <c r="IPB117" s="222"/>
      <c r="IPC117" s="222"/>
      <c r="IPD117" s="222"/>
      <c r="IPE117" s="222"/>
      <c r="IPF117" s="222"/>
      <c r="IPG117" s="222"/>
      <c r="IPH117" s="222"/>
      <c r="IPI117" s="222"/>
      <c r="IPJ117" s="222"/>
      <c r="IPK117" s="222"/>
      <c r="IPL117" s="222"/>
      <c r="IPM117" s="222"/>
      <c r="IPN117" s="222"/>
      <c r="IPO117" s="222"/>
      <c r="IPP117" s="222"/>
      <c r="IPQ117" s="222"/>
      <c r="IPR117" s="222"/>
      <c r="IPS117" s="222"/>
      <c r="IPT117" s="222"/>
      <c r="IPU117" s="222"/>
      <c r="IPV117" s="222"/>
      <c r="IPW117" s="222"/>
      <c r="IPX117" s="222"/>
      <c r="IPY117" s="222"/>
      <c r="IPZ117" s="222"/>
      <c r="IQA117" s="222"/>
      <c r="IQB117" s="222"/>
      <c r="IQC117" s="222"/>
      <c r="IQD117" s="222"/>
      <c r="IQE117" s="222"/>
      <c r="IQF117" s="222"/>
      <c r="IQG117" s="222"/>
      <c r="IQH117" s="222"/>
      <c r="IQI117" s="222"/>
      <c r="IQJ117" s="222"/>
      <c r="IQK117" s="222"/>
      <c r="IQL117" s="222"/>
      <c r="IQM117" s="222"/>
      <c r="IQN117" s="222"/>
      <c r="IQO117" s="222"/>
      <c r="IQP117" s="222"/>
      <c r="IQQ117" s="222"/>
      <c r="IQR117" s="222"/>
      <c r="IQS117" s="222"/>
      <c r="IQT117" s="222"/>
      <c r="IQU117" s="222"/>
      <c r="IQV117" s="222"/>
      <c r="IQW117" s="222"/>
      <c r="IQX117" s="222"/>
      <c r="IQY117" s="222"/>
      <c r="IQZ117" s="222"/>
      <c r="IRA117" s="222"/>
      <c r="IRB117" s="222"/>
      <c r="IRC117" s="222"/>
      <c r="IRD117" s="222"/>
      <c r="IRE117" s="222"/>
      <c r="IRF117" s="222"/>
      <c r="IRG117" s="222"/>
      <c r="IRH117" s="222"/>
      <c r="IRI117" s="222"/>
      <c r="IRJ117" s="222"/>
      <c r="IRK117" s="222"/>
      <c r="IRL117" s="222"/>
      <c r="IRM117" s="222"/>
      <c r="IRN117" s="222"/>
      <c r="IRO117" s="222"/>
      <c r="IRP117" s="222"/>
      <c r="IRQ117" s="222"/>
      <c r="IRR117" s="222"/>
      <c r="IRS117" s="222"/>
      <c r="IRT117" s="222"/>
      <c r="IRU117" s="222"/>
      <c r="IRV117" s="222"/>
      <c r="IRW117" s="222"/>
      <c r="IRX117" s="222"/>
      <c r="IRY117" s="222"/>
      <c r="IRZ117" s="222"/>
      <c r="ISA117" s="222"/>
      <c r="ISB117" s="222"/>
      <c r="ISC117" s="222"/>
      <c r="ISD117" s="222"/>
      <c r="ISE117" s="222"/>
      <c r="ISF117" s="222"/>
      <c r="ISG117" s="222"/>
      <c r="ISH117" s="222"/>
      <c r="ISI117" s="222"/>
      <c r="ISJ117" s="222"/>
      <c r="ISK117" s="222"/>
      <c r="ISL117" s="222"/>
      <c r="ISM117" s="222"/>
      <c r="ISN117" s="222"/>
      <c r="ISO117" s="222"/>
      <c r="ISP117" s="222"/>
      <c r="ISQ117" s="222"/>
      <c r="ISR117" s="222"/>
      <c r="ISS117" s="222"/>
      <c r="IST117" s="222"/>
      <c r="ISU117" s="222"/>
      <c r="ISV117" s="222"/>
      <c r="ISW117" s="222"/>
      <c r="ISX117" s="222"/>
      <c r="ISY117" s="222"/>
      <c r="ISZ117" s="222"/>
      <c r="ITA117" s="222"/>
      <c r="ITB117" s="222"/>
      <c r="ITC117" s="222"/>
      <c r="ITD117" s="222"/>
      <c r="ITE117" s="222"/>
      <c r="ITF117" s="222"/>
      <c r="ITG117" s="222"/>
      <c r="ITH117" s="222"/>
      <c r="ITI117" s="222"/>
      <c r="ITJ117" s="222"/>
      <c r="ITK117" s="222"/>
      <c r="ITL117" s="222"/>
      <c r="ITM117" s="222"/>
      <c r="ITN117" s="222"/>
      <c r="ITO117" s="222"/>
      <c r="ITP117" s="222"/>
      <c r="ITQ117" s="222"/>
      <c r="ITR117" s="222"/>
      <c r="ITS117" s="222"/>
      <c r="ITT117" s="222"/>
      <c r="ITU117" s="222"/>
      <c r="ITV117" s="222"/>
      <c r="ITW117" s="222"/>
      <c r="ITX117" s="222"/>
      <c r="ITY117" s="222"/>
      <c r="ITZ117" s="222"/>
      <c r="IUA117" s="222"/>
      <c r="IUB117" s="222"/>
      <c r="IUC117" s="222"/>
      <c r="IUD117" s="222"/>
      <c r="IUE117" s="222"/>
      <c r="IUF117" s="222"/>
      <c r="IUG117" s="222"/>
      <c r="IUH117" s="222"/>
      <c r="IUI117" s="222"/>
      <c r="IUJ117" s="222"/>
      <c r="IUK117" s="222"/>
      <c r="IUL117" s="222"/>
      <c r="IUM117" s="222"/>
      <c r="IUN117" s="222"/>
      <c r="IUO117" s="222"/>
      <c r="IUP117" s="222"/>
      <c r="IUQ117" s="222"/>
      <c r="IUR117" s="222"/>
      <c r="IUS117" s="222"/>
      <c r="IUT117" s="222"/>
      <c r="IUU117" s="222"/>
      <c r="IUV117" s="222"/>
      <c r="IUW117" s="222"/>
      <c r="IUX117" s="222"/>
      <c r="IUY117" s="222"/>
      <c r="IUZ117" s="222"/>
      <c r="IVA117" s="222"/>
      <c r="IVB117" s="222"/>
      <c r="IVC117" s="222"/>
      <c r="IVD117" s="222"/>
      <c r="IVE117" s="222"/>
      <c r="IVF117" s="222"/>
      <c r="IVG117" s="222"/>
      <c r="IVH117" s="222"/>
      <c r="IVI117" s="222"/>
      <c r="IVJ117" s="222"/>
      <c r="IVK117" s="222"/>
      <c r="IVL117" s="222"/>
      <c r="IVM117" s="222"/>
      <c r="IVN117" s="222"/>
      <c r="IVO117" s="222"/>
      <c r="IVP117" s="222"/>
      <c r="IVQ117" s="222"/>
      <c r="IVR117" s="222"/>
      <c r="IVS117" s="222"/>
      <c r="IVT117" s="222"/>
      <c r="IVU117" s="222"/>
      <c r="IVV117" s="222"/>
      <c r="IVW117" s="222"/>
      <c r="IVX117" s="222"/>
      <c r="IVY117" s="222"/>
      <c r="IVZ117" s="222"/>
      <c r="IWA117" s="222"/>
      <c r="IWB117" s="222"/>
      <c r="IWC117" s="222"/>
      <c r="IWD117" s="222"/>
      <c r="IWE117" s="222"/>
      <c r="IWF117" s="222"/>
      <c r="IWG117" s="222"/>
      <c r="IWH117" s="222"/>
      <c r="IWI117" s="222"/>
      <c r="IWJ117" s="222"/>
      <c r="IWK117" s="222"/>
      <c r="IWL117" s="222"/>
      <c r="IWM117" s="222"/>
      <c r="IWN117" s="222"/>
      <c r="IWO117" s="222"/>
      <c r="IWP117" s="222"/>
      <c r="IWQ117" s="222"/>
      <c r="IWR117" s="222"/>
      <c r="IWS117" s="222"/>
      <c r="IWT117" s="222"/>
      <c r="IWU117" s="222"/>
      <c r="IWV117" s="222"/>
      <c r="IWW117" s="222"/>
      <c r="IWX117" s="222"/>
      <c r="IWY117" s="222"/>
      <c r="IWZ117" s="222"/>
      <c r="IXA117" s="222"/>
      <c r="IXB117" s="222"/>
      <c r="IXC117" s="222"/>
      <c r="IXD117" s="222"/>
      <c r="IXE117" s="222"/>
      <c r="IXF117" s="222"/>
      <c r="IXG117" s="222"/>
      <c r="IXH117" s="222"/>
      <c r="IXI117" s="222"/>
      <c r="IXJ117" s="222"/>
      <c r="IXK117" s="222"/>
      <c r="IXL117" s="222"/>
      <c r="IXM117" s="222"/>
      <c r="IXN117" s="222"/>
      <c r="IXO117" s="222"/>
      <c r="IXP117" s="222"/>
      <c r="IXQ117" s="222"/>
      <c r="IXR117" s="222"/>
      <c r="IXS117" s="222"/>
      <c r="IXT117" s="222"/>
      <c r="IXU117" s="222"/>
      <c r="IXV117" s="222"/>
      <c r="IXW117" s="222"/>
      <c r="IXX117" s="222"/>
      <c r="IXY117" s="222"/>
      <c r="IXZ117" s="222"/>
      <c r="IYA117" s="222"/>
      <c r="IYB117" s="222"/>
      <c r="IYC117" s="222"/>
      <c r="IYD117" s="222"/>
      <c r="IYE117" s="222"/>
      <c r="IYF117" s="222"/>
      <c r="IYG117" s="222"/>
      <c r="IYH117" s="222"/>
      <c r="IYI117" s="222"/>
      <c r="IYJ117" s="222"/>
      <c r="IYK117" s="222"/>
      <c r="IYL117" s="222"/>
      <c r="IYM117" s="222"/>
      <c r="IYN117" s="222"/>
      <c r="IYO117" s="222"/>
      <c r="IYP117" s="222"/>
      <c r="IYQ117" s="222"/>
      <c r="IYR117" s="222"/>
      <c r="IYS117" s="222"/>
      <c r="IYT117" s="222"/>
      <c r="IYU117" s="222"/>
      <c r="IYV117" s="222"/>
      <c r="IYW117" s="222"/>
      <c r="IYX117" s="222"/>
      <c r="IYY117" s="222"/>
      <c r="IYZ117" s="222"/>
      <c r="IZA117" s="222"/>
      <c r="IZB117" s="222"/>
      <c r="IZC117" s="222"/>
      <c r="IZD117" s="222"/>
      <c r="IZE117" s="222"/>
      <c r="IZF117" s="222"/>
      <c r="IZG117" s="222"/>
      <c r="IZH117" s="222"/>
      <c r="IZI117" s="222"/>
      <c r="IZJ117" s="222"/>
      <c r="IZK117" s="222"/>
      <c r="IZL117" s="222"/>
      <c r="IZM117" s="222"/>
      <c r="IZN117" s="222"/>
      <c r="IZO117" s="222"/>
      <c r="IZP117" s="222"/>
      <c r="IZQ117" s="222"/>
      <c r="IZR117" s="222"/>
      <c r="IZS117" s="222"/>
      <c r="IZT117" s="222"/>
      <c r="IZU117" s="222"/>
      <c r="IZV117" s="222"/>
      <c r="IZW117" s="222"/>
      <c r="IZX117" s="222"/>
      <c r="IZY117" s="222"/>
      <c r="IZZ117" s="222"/>
      <c r="JAA117" s="222"/>
      <c r="JAB117" s="222"/>
      <c r="JAC117" s="222"/>
      <c r="JAD117" s="222"/>
      <c r="JAE117" s="222"/>
      <c r="JAF117" s="222"/>
      <c r="JAG117" s="222"/>
      <c r="JAH117" s="222"/>
      <c r="JAI117" s="222"/>
      <c r="JAJ117" s="222"/>
      <c r="JAK117" s="222"/>
      <c r="JAL117" s="222"/>
      <c r="JAM117" s="222"/>
      <c r="JAN117" s="222"/>
      <c r="JAO117" s="222"/>
      <c r="JAP117" s="222"/>
      <c r="JAQ117" s="222"/>
      <c r="JAR117" s="222"/>
      <c r="JAS117" s="222"/>
      <c r="JAT117" s="222"/>
      <c r="JAU117" s="222"/>
      <c r="JAV117" s="222"/>
      <c r="JAW117" s="222"/>
      <c r="JAX117" s="222"/>
      <c r="JAY117" s="222"/>
      <c r="JAZ117" s="222"/>
      <c r="JBA117" s="222"/>
      <c r="JBB117" s="222"/>
      <c r="JBC117" s="222"/>
      <c r="JBD117" s="222"/>
      <c r="JBE117" s="222"/>
      <c r="JBF117" s="222"/>
      <c r="JBG117" s="222"/>
      <c r="JBH117" s="222"/>
      <c r="JBI117" s="222"/>
      <c r="JBJ117" s="222"/>
      <c r="JBK117" s="222"/>
      <c r="JBL117" s="222"/>
      <c r="JBM117" s="222"/>
      <c r="JBN117" s="222"/>
      <c r="JBO117" s="222"/>
      <c r="JBP117" s="222"/>
      <c r="JBQ117" s="222"/>
      <c r="JBR117" s="222"/>
      <c r="JBS117" s="222"/>
      <c r="JBT117" s="222"/>
      <c r="JBU117" s="222"/>
      <c r="JBV117" s="222"/>
      <c r="JBW117" s="222"/>
      <c r="JBX117" s="222"/>
      <c r="JBY117" s="222"/>
      <c r="JBZ117" s="222"/>
      <c r="JCA117" s="222"/>
      <c r="JCB117" s="222"/>
      <c r="JCC117" s="222"/>
      <c r="JCD117" s="222"/>
      <c r="JCE117" s="222"/>
      <c r="JCF117" s="222"/>
      <c r="JCG117" s="222"/>
      <c r="JCH117" s="222"/>
      <c r="JCI117" s="222"/>
      <c r="JCJ117" s="222"/>
      <c r="JCK117" s="222"/>
      <c r="JCL117" s="222"/>
      <c r="JCM117" s="222"/>
      <c r="JCN117" s="222"/>
      <c r="JCO117" s="222"/>
      <c r="JCP117" s="222"/>
      <c r="JCQ117" s="222"/>
      <c r="JCR117" s="222"/>
      <c r="JCS117" s="222"/>
      <c r="JCT117" s="222"/>
      <c r="JCU117" s="222"/>
      <c r="JCV117" s="222"/>
      <c r="JCW117" s="222"/>
      <c r="JCX117" s="222"/>
      <c r="JCY117" s="222"/>
      <c r="JCZ117" s="222"/>
      <c r="JDA117" s="222"/>
      <c r="JDB117" s="222"/>
      <c r="JDC117" s="222"/>
      <c r="JDD117" s="222"/>
      <c r="JDE117" s="222"/>
      <c r="JDF117" s="222"/>
      <c r="JDG117" s="222"/>
      <c r="JDH117" s="222"/>
      <c r="JDI117" s="222"/>
      <c r="JDJ117" s="222"/>
      <c r="JDK117" s="222"/>
      <c r="JDL117" s="222"/>
      <c r="JDM117" s="222"/>
      <c r="JDN117" s="222"/>
      <c r="JDO117" s="222"/>
      <c r="JDP117" s="222"/>
      <c r="JDQ117" s="222"/>
      <c r="JDR117" s="222"/>
      <c r="JDS117" s="222"/>
      <c r="JDT117" s="222"/>
      <c r="JDU117" s="222"/>
      <c r="JDV117" s="222"/>
      <c r="JDW117" s="222"/>
      <c r="JDX117" s="222"/>
      <c r="JDY117" s="222"/>
      <c r="JDZ117" s="222"/>
      <c r="JEA117" s="222"/>
      <c r="JEB117" s="222"/>
      <c r="JEC117" s="222"/>
      <c r="JED117" s="222"/>
      <c r="JEE117" s="222"/>
      <c r="JEF117" s="222"/>
      <c r="JEG117" s="222"/>
      <c r="JEH117" s="222"/>
      <c r="JEI117" s="222"/>
      <c r="JEJ117" s="222"/>
      <c r="JEK117" s="222"/>
      <c r="JEL117" s="222"/>
      <c r="JEM117" s="222"/>
      <c r="JEN117" s="222"/>
      <c r="JEO117" s="222"/>
      <c r="JEP117" s="222"/>
      <c r="JEQ117" s="222"/>
      <c r="JER117" s="222"/>
      <c r="JES117" s="222"/>
      <c r="JET117" s="222"/>
      <c r="JEU117" s="222"/>
      <c r="JEV117" s="222"/>
      <c r="JEW117" s="222"/>
      <c r="JEX117" s="222"/>
      <c r="JEY117" s="222"/>
      <c r="JEZ117" s="222"/>
      <c r="JFA117" s="222"/>
      <c r="JFB117" s="222"/>
      <c r="JFC117" s="222"/>
      <c r="JFD117" s="222"/>
      <c r="JFE117" s="222"/>
      <c r="JFF117" s="222"/>
      <c r="JFG117" s="222"/>
      <c r="JFH117" s="222"/>
      <c r="JFI117" s="222"/>
      <c r="JFJ117" s="222"/>
      <c r="JFK117" s="222"/>
      <c r="JFL117" s="222"/>
      <c r="JFM117" s="222"/>
      <c r="JFN117" s="222"/>
      <c r="JFO117" s="222"/>
      <c r="JFP117" s="222"/>
      <c r="JFQ117" s="222"/>
      <c r="JFR117" s="222"/>
      <c r="JFS117" s="222"/>
      <c r="JFT117" s="222"/>
      <c r="JFU117" s="222"/>
      <c r="JFV117" s="222"/>
      <c r="JFW117" s="222"/>
      <c r="JFX117" s="222"/>
      <c r="JFY117" s="222"/>
      <c r="JFZ117" s="222"/>
      <c r="JGA117" s="222"/>
      <c r="JGB117" s="222"/>
      <c r="JGC117" s="222"/>
      <c r="JGD117" s="222"/>
      <c r="JGE117" s="222"/>
      <c r="JGF117" s="222"/>
      <c r="JGG117" s="222"/>
      <c r="JGH117" s="222"/>
      <c r="JGI117" s="222"/>
      <c r="JGJ117" s="222"/>
      <c r="JGK117" s="222"/>
      <c r="JGL117" s="222"/>
      <c r="JGM117" s="222"/>
      <c r="JGN117" s="222"/>
      <c r="JGO117" s="222"/>
      <c r="JGP117" s="222"/>
      <c r="JGQ117" s="222"/>
      <c r="JGR117" s="222"/>
      <c r="JGS117" s="222"/>
      <c r="JGT117" s="222"/>
      <c r="JGU117" s="222"/>
      <c r="JGV117" s="222"/>
      <c r="JGW117" s="222"/>
      <c r="JGX117" s="222"/>
      <c r="JGY117" s="222"/>
      <c r="JGZ117" s="222"/>
      <c r="JHA117" s="222"/>
      <c r="JHB117" s="222"/>
      <c r="JHC117" s="222"/>
      <c r="JHD117" s="222"/>
      <c r="JHE117" s="222"/>
      <c r="JHF117" s="222"/>
      <c r="JHG117" s="222"/>
      <c r="JHH117" s="222"/>
      <c r="JHI117" s="222"/>
      <c r="JHJ117" s="222"/>
      <c r="JHK117" s="222"/>
      <c r="JHL117" s="222"/>
      <c r="JHM117" s="222"/>
      <c r="JHN117" s="222"/>
      <c r="JHO117" s="222"/>
      <c r="JHP117" s="222"/>
      <c r="JHQ117" s="222"/>
      <c r="JHR117" s="222"/>
      <c r="JHS117" s="222"/>
      <c r="JHT117" s="222"/>
      <c r="JHU117" s="222"/>
      <c r="JHV117" s="222"/>
      <c r="JHW117" s="222"/>
      <c r="JHX117" s="222"/>
      <c r="JHY117" s="222"/>
      <c r="JHZ117" s="222"/>
      <c r="JIA117" s="222"/>
      <c r="JIB117" s="222"/>
      <c r="JIC117" s="222"/>
      <c r="JID117" s="222"/>
      <c r="JIE117" s="222"/>
      <c r="JIF117" s="222"/>
      <c r="JIG117" s="222"/>
      <c r="JIH117" s="222"/>
      <c r="JII117" s="222"/>
      <c r="JIJ117" s="222"/>
      <c r="JIK117" s="222"/>
      <c r="JIL117" s="222"/>
      <c r="JIM117" s="222"/>
      <c r="JIN117" s="222"/>
      <c r="JIO117" s="222"/>
      <c r="JIP117" s="222"/>
      <c r="JIQ117" s="222"/>
      <c r="JIR117" s="222"/>
      <c r="JIS117" s="222"/>
      <c r="JIT117" s="222"/>
      <c r="JIU117" s="222"/>
      <c r="JIV117" s="222"/>
      <c r="JIW117" s="222"/>
      <c r="JIX117" s="222"/>
      <c r="JIY117" s="222"/>
      <c r="JIZ117" s="222"/>
      <c r="JJA117" s="222"/>
      <c r="JJB117" s="222"/>
      <c r="JJC117" s="222"/>
      <c r="JJD117" s="222"/>
      <c r="JJE117" s="222"/>
      <c r="JJF117" s="222"/>
      <c r="JJG117" s="222"/>
      <c r="JJH117" s="222"/>
      <c r="JJI117" s="222"/>
      <c r="JJJ117" s="222"/>
      <c r="JJK117" s="222"/>
      <c r="JJL117" s="222"/>
      <c r="JJM117" s="222"/>
      <c r="JJN117" s="222"/>
      <c r="JJO117" s="222"/>
      <c r="JJP117" s="222"/>
      <c r="JJQ117" s="222"/>
      <c r="JJR117" s="222"/>
      <c r="JJS117" s="222"/>
      <c r="JJT117" s="222"/>
      <c r="JJU117" s="222"/>
      <c r="JJV117" s="222"/>
      <c r="JJW117" s="222"/>
      <c r="JJX117" s="222"/>
      <c r="JJY117" s="222"/>
      <c r="JJZ117" s="222"/>
      <c r="JKA117" s="222"/>
      <c r="JKB117" s="222"/>
      <c r="JKC117" s="222"/>
      <c r="JKD117" s="222"/>
      <c r="JKE117" s="222"/>
      <c r="JKF117" s="222"/>
      <c r="JKG117" s="222"/>
      <c r="JKH117" s="222"/>
      <c r="JKI117" s="222"/>
      <c r="JKJ117" s="222"/>
      <c r="JKK117" s="222"/>
      <c r="JKL117" s="222"/>
      <c r="JKM117" s="222"/>
      <c r="JKN117" s="222"/>
      <c r="JKO117" s="222"/>
      <c r="JKP117" s="222"/>
      <c r="JKQ117" s="222"/>
      <c r="JKR117" s="222"/>
      <c r="JKS117" s="222"/>
      <c r="JKT117" s="222"/>
      <c r="JKU117" s="222"/>
      <c r="JKV117" s="222"/>
      <c r="JKW117" s="222"/>
      <c r="JKX117" s="222"/>
      <c r="JKY117" s="222"/>
      <c r="JKZ117" s="222"/>
      <c r="JLA117" s="222"/>
      <c r="JLB117" s="222"/>
      <c r="JLC117" s="222"/>
      <c r="JLD117" s="222"/>
      <c r="JLE117" s="222"/>
      <c r="JLF117" s="222"/>
      <c r="JLG117" s="222"/>
      <c r="JLH117" s="222"/>
      <c r="JLI117" s="222"/>
      <c r="JLJ117" s="222"/>
      <c r="JLK117" s="222"/>
      <c r="JLL117" s="222"/>
      <c r="JLM117" s="222"/>
      <c r="JLN117" s="222"/>
      <c r="JLO117" s="222"/>
      <c r="JLP117" s="222"/>
      <c r="JLQ117" s="222"/>
      <c r="JLR117" s="222"/>
      <c r="JLS117" s="222"/>
      <c r="JLT117" s="222"/>
      <c r="JLU117" s="222"/>
      <c r="JLV117" s="222"/>
      <c r="JLW117" s="222"/>
      <c r="JLX117" s="222"/>
      <c r="JLY117" s="222"/>
      <c r="JLZ117" s="222"/>
      <c r="JMA117" s="222"/>
      <c r="JMB117" s="222"/>
      <c r="JMC117" s="222"/>
      <c r="JMD117" s="222"/>
      <c r="JME117" s="222"/>
      <c r="JMF117" s="222"/>
      <c r="JMG117" s="222"/>
      <c r="JMH117" s="222"/>
      <c r="JMI117" s="222"/>
      <c r="JMJ117" s="222"/>
      <c r="JMK117" s="222"/>
      <c r="JML117" s="222"/>
      <c r="JMM117" s="222"/>
      <c r="JMN117" s="222"/>
      <c r="JMO117" s="222"/>
      <c r="JMP117" s="222"/>
      <c r="JMQ117" s="222"/>
      <c r="JMR117" s="222"/>
      <c r="JMS117" s="222"/>
      <c r="JMT117" s="222"/>
      <c r="JMU117" s="222"/>
      <c r="JMV117" s="222"/>
      <c r="JMW117" s="222"/>
      <c r="JMX117" s="222"/>
      <c r="JMY117" s="222"/>
      <c r="JMZ117" s="222"/>
      <c r="JNA117" s="222"/>
      <c r="JNB117" s="222"/>
      <c r="JNC117" s="222"/>
      <c r="JND117" s="222"/>
      <c r="JNE117" s="222"/>
      <c r="JNF117" s="222"/>
      <c r="JNG117" s="222"/>
      <c r="JNH117" s="222"/>
      <c r="JNI117" s="222"/>
      <c r="JNJ117" s="222"/>
      <c r="JNK117" s="222"/>
      <c r="JNL117" s="222"/>
      <c r="JNM117" s="222"/>
      <c r="JNN117" s="222"/>
      <c r="JNO117" s="222"/>
      <c r="JNP117" s="222"/>
      <c r="JNQ117" s="222"/>
      <c r="JNR117" s="222"/>
      <c r="JNS117" s="222"/>
      <c r="JNT117" s="222"/>
      <c r="JNU117" s="222"/>
      <c r="JNV117" s="222"/>
      <c r="JNW117" s="222"/>
      <c r="JNX117" s="222"/>
      <c r="JNY117" s="222"/>
      <c r="JNZ117" s="222"/>
      <c r="JOA117" s="222"/>
      <c r="JOB117" s="222"/>
      <c r="JOC117" s="222"/>
      <c r="JOD117" s="222"/>
      <c r="JOE117" s="222"/>
      <c r="JOF117" s="222"/>
      <c r="JOG117" s="222"/>
      <c r="JOH117" s="222"/>
      <c r="JOI117" s="222"/>
      <c r="JOJ117" s="222"/>
      <c r="JOK117" s="222"/>
      <c r="JOL117" s="222"/>
      <c r="JOM117" s="222"/>
      <c r="JON117" s="222"/>
      <c r="JOO117" s="222"/>
      <c r="JOP117" s="222"/>
      <c r="JOQ117" s="222"/>
      <c r="JOR117" s="222"/>
      <c r="JOS117" s="222"/>
      <c r="JOT117" s="222"/>
      <c r="JOU117" s="222"/>
      <c r="JOV117" s="222"/>
      <c r="JOW117" s="222"/>
      <c r="JOX117" s="222"/>
      <c r="JOY117" s="222"/>
      <c r="JOZ117" s="222"/>
      <c r="JPA117" s="222"/>
      <c r="JPB117" s="222"/>
      <c r="JPC117" s="222"/>
      <c r="JPD117" s="222"/>
      <c r="JPE117" s="222"/>
      <c r="JPF117" s="222"/>
      <c r="JPG117" s="222"/>
      <c r="JPH117" s="222"/>
      <c r="JPI117" s="222"/>
      <c r="JPJ117" s="222"/>
      <c r="JPK117" s="222"/>
      <c r="JPL117" s="222"/>
      <c r="JPM117" s="222"/>
      <c r="JPN117" s="222"/>
      <c r="JPO117" s="222"/>
      <c r="JPP117" s="222"/>
      <c r="JPQ117" s="222"/>
      <c r="JPR117" s="222"/>
      <c r="JPS117" s="222"/>
      <c r="JPT117" s="222"/>
      <c r="JPU117" s="222"/>
      <c r="JPV117" s="222"/>
      <c r="JPW117" s="222"/>
      <c r="JPX117" s="222"/>
      <c r="JPY117" s="222"/>
      <c r="JPZ117" s="222"/>
      <c r="JQA117" s="222"/>
      <c r="JQB117" s="222"/>
      <c r="JQC117" s="222"/>
      <c r="JQD117" s="222"/>
      <c r="JQE117" s="222"/>
      <c r="JQF117" s="222"/>
      <c r="JQG117" s="222"/>
      <c r="JQH117" s="222"/>
      <c r="JQI117" s="222"/>
      <c r="JQJ117" s="222"/>
      <c r="JQK117" s="222"/>
      <c r="JQL117" s="222"/>
      <c r="JQM117" s="222"/>
      <c r="JQN117" s="222"/>
      <c r="JQO117" s="222"/>
      <c r="JQP117" s="222"/>
      <c r="JQQ117" s="222"/>
      <c r="JQR117" s="222"/>
      <c r="JQS117" s="222"/>
      <c r="JQT117" s="222"/>
      <c r="JQU117" s="222"/>
      <c r="JQV117" s="222"/>
      <c r="JQW117" s="222"/>
      <c r="JQX117" s="222"/>
      <c r="JQY117" s="222"/>
      <c r="JQZ117" s="222"/>
      <c r="JRA117" s="222"/>
      <c r="JRB117" s="222"/>
      <c r="JRC117" s="222"/>
      <c r="JRD117" s="222"/>
      <c r="JRE117" s="222"/>
      <c r="JRF117" s="222"/>
      <c r="JRG117" s="222"/>
      <c r="JRH117" s="222"/>
      <c r="JRI117" s="222"/>
      <c r="JRJ117" s="222"/>
      <c r="JRK117" s="222"/>
      <c r="JRL117" s="222"/>
      <c r="JRM117" s="222"/>
      <c r="JRN117" s="222"/>
      <c r="JRO117" s="222"/>
      <c r="JRP117" s="222"/>
      <c r="JRQ117" s="222"/>
      <c r="JRR117" s="222"/>
      <c r="JRS117" s="222"/>
      <c r="JRT117" s="222"/>
      <c r="JRU117" s="222"/>
      <c r="JRV117" s="222"/>
      <c r="JRW117" s="222"/>
      <c r="JRX117" s="222"/>
      <c r="JRY117" s="222"/>
      <c r="JRZ117" s="222"/>
      <c r="JSA117" s="222"/>
      <c r="JSB117" s="222"/>
      <c r="JSC117" s="222"/>
      <c r="JSD117" s="222"/>
      <c r="JSE117" s="222"/>
      <c r="JSF117" s="222"/>
      <c r="JSG117" s="222"/>
      <c r="JSH117" s="222"/>
      <c r="JSI117" s="222"/>
      <c r="JSJ117" s="222"/>
      <c r="JSK117" s="222"/>
      <c r="JSL117" s="222"/>
      <c r="JSM117" s="222"/>
      <c r="JSN117" s="222"/>
      <c r="JSO117" s="222"/>
      <c r="JSP117" s="222"/>
      <c r="JSQ117" s="222"/>
      <c r="JSR117" s="222"/>
      <c r="JSS117" s="222"/>
      <c r="JST117" s="222"/>
      <c r="JSU117" s="222"/>
      <c r="JSV117" s="222"/>
      <c r="JSW117" s="222"/>
      <c r="JSX117" s="222"/>
      <c r="JSY117" s="222"/>
      <c r="JSZ117" s="222"/>
      <c r="JTA117" s="222"/>
      <c r="JTB117" s="222"/>
      <c r="JTC117" s="222"/>
      <c r="JTD117" s="222"/>
      <c r="JTE117" s="222"/>
      <c r="JTF117" s="222"/>
      <c r="JTG117" s="222"/>
      <c r="JTH117" s="222"/>
      <c r="JTI117" s="222"/>
      <c r="JTJ117" s="222"/>
      <c r="JTK117" s="222"/>
      <c r="JTL117" s="222"/>
      <c r="JTM117" s="222"/>
      <c r="JTN117" s="222"/>
      <c r="JTO117" s="222"/>
      <c r="JTP117" s="222"/>
      <c r="JTQ117" s="222"/>
      <c r="JTR117" s="222"/>
      <c r="JTS117" s="222"/>
      <c r="JTT117" s="222"/>
      <c r="JTU117" s="222"/>
      <c r="JTV117" s="222"/>
      <c r="JTW117" s="222"/>
      <c r="JTX117" s="222"/>
      <c r="JTY117" s="222"/>
      <c r="JTZ117" s="222"/>
      <c r="JUA117" s="222"/>
      <c r="JUB117" s="222"/>
      <c r="JUC117" s="222"/>
      <c r="JUD117" s="222"/>
      <c r="JUE117" s="222"/>
      <c r="JUF117" s="222"/>
      <c r="JUG117" s="222"/>
      <c r="JUH117" s="222"/>
      <c r="JUI117" s="222"/>
      <c r="JUJ117" s="222"/>
      <c r="JUK117" s="222"/>
      <c r="JUL117" s="222"/>
      <c r="JUM117" s="222"/>
      <c r="JUN117" s="222"/>
      <c r="JUO117" s="222"/>
      <c r="JUP117" s="222"/>
      <c r="JUQ117" s="222"/>
      <c r="JUR117" s="222"/>
      <c r="JUS117" s="222"/>
      <c r="JUT117" s="222"/>
      <c r="JUU117" s="222"/>
      <c r="JUV117" s="222"/>
      <c r="JUW117" s="222"/>
      <c r="JUX117" s="222"/>
      <c r="JUY117" s="222"/>
      <c r="JUZ117" s="222"/>
      <c r="JVA117" s="222"/>
      <c r="JVB117" s="222"/>
      <c r="JVC117" s="222"/>
      <c r="JVD117" s="222"/>
      <c r="JVE117" s="222"/>
      <c r="JVF117" s="222"/>
      <c r="JVG117" s="222"/>
      <c r="JVH117" s="222"/>
      <c r="JVI117" s="222"/>
      <c r="JVJ117" s="222"/>
      <c r="JVK117" s="222"/>
      <c r="JVL117" s="222"/>
      <c r="JVM117" s="222"/>
      <c r="JVN117" s="222"/>
      <c r="JVO117" s="222"/>
      <c r="JVP117" s="222"/>
      <c r="JVQ117" s="222"/>
      <c r="JVR117" s="222"/>
      <c r="JVS117" s="222"/>
      <c r="JVT117" s="222"/>
      <c r="JVU117" s="222"/>
      <c r="JVV117" s="222"/>
      <c r="JVW117" s="222"/>
      <c r="JVX117" s="222"/>
      <c r="JVY117" s="222"/>
      <c r="JVZ117" s="222"/>
      <c r="JWA117" s="222"/>
      <c r="JWB117" s="222"/>
      <c r="JWC117" s="222"/>
      <c r="JWD117" s="222"/>
      <c r="JWE117" s="222"/>
      <c r="JWF117" s="222"/>
      <c r="JWG117" s="222"/>
      <c r="JWH117" s="222"/>
      <c r="JWI117" s="222"/>
      <c r="JWJ117" s="222"/>
      <c r="JWK117" s="222"/>
      <c r="JWL117" s="222"/>
      <c r="JWM117" s="222"/>
      <c r="JWN117" s="222"/>
      <c r="JWO117" s="222"/>
      <c r="JWP117" s="222"/>
      <c r="JWQ117" s="222"/>
      <c r="JWR117" s="222"/>
      <c r="JWS117" s="222"/>
      <c r="JWT117" s="222"/>
      <c r="JWU117" s="222"/>
      <c r="JWV117" s="222"/>
      <c r="JWW117" s="222"/>
      <c r="JWX117" s="222"/>
      <c r="JWY117" s="222"/>
      <c r="JWZ117" s="222"/>
      <c r="JXA117" s="222"/>
      <c r="JXB117" s="222"/>
      <c r="JXC117" s="222"/>
      <c r="JXD117" s="222"/>
      <c r="JXE117" s="222"/>
      <c r="JXF117" s="222"/>
      <c r="JXG117" s="222"/>
      <c r="JXH117" s="222"/>
      <c r="JXI117" s="222"/>
      <c r="JXJ117" s="222"/>
      <c r="JXK117" s="222"/>
      <c r="JXL117" s="222"/>
      <c r="JXM117" s="222"/>
      <c r="JXN117" s="222"/>
      <c r="JXO117" s="222"/>
      <c r="JXP117" s="222"/>
      <c r="JXQ117" s="222"/>
      <c r="JXR117" s="222"/>
      <c r="JXS117" s="222"/>
      <c r="JXT117" s="222"/>
      <c r="JXU117" s="222"/>
      <c r="JXV117" s="222"/>
      <c r="JXW117" s="222"/>
      <c r="JXX117" s="222"/>
      <c r="JXY117" s="222"/>
      <c r="JXZ117" s="222"/>
      <c r="JYA117" s="222"/>
      <c r="JYB117" s="222"/>
      <c r="JYC117" s="222"/>
      <c r="JYD117" s="222"/>
      <c r="JYE117" s="222"/>
      <c r="JYF117" s="222"/>
      <c r="JYG117" s="222"/>
      <c r="JYH117" s="222"/>
      <c r="JYI117" s="222"/>
      <c r="JYJ117" s="222"/>
      <c r="JYK117" s="222"/>
      <c r="JYL117" s="222"/>
      <c r="JYM117" s="222"/>
      <c r="JYN117" s="222"/>
      <c r="JYO117" s="222"/>
      <c r="JYP117" s="222"/>
      <c r="JYQ117" s="222"/>
      <c r="JYR117" s="222"/>
      <c r="JYS117" s="222"/>
      <c r="JYT117" s="222"/>
      <c r="JYU117" s="222"/>
      <c r="JYV117" s="222"/>
      <c r="JYW117" s="222"/>
      <c r="JYX117" s="222"/>
      <c r="JYY117" s="222"/>
      <c r="JYZ117" s="222"/>
      <c r="JZA117" s="222"/>
      <c r="JZB117" s="222"/>
      <c r="JZC117" s="222"/>
      <c r="JZD117" s="222"/>
      <c r="JZE117" s="222"/>
      <c r="JZF117" s="222"/>
      <c r="JZG117" s="222"/>
      <c r="JZH117" s="222"/>
      <c r="JZI117" s="222"/>
      <c r="JZJ117" s="222"/>
      <c r="JZK117" s="222"/>
      <c r="JZL117" s="222"/>
      <c r="JZM117" s="222"/>
      <c r="JZN117" s="222"/>
      <c r="JZO117" s="222"/>
      <c r="JZP117" s="222"/>
      <c r="JZQ117" s="222"/>
      <c r="JZR117" s="222"/>
      <c r="JZS117" s="222"/>
      <c r="JZT117" s="222"/>
      <c r="JZU117" s="222"/>
      <c r="JZV117" s="222"/>
      <c r="JZW117" s="222"/>
      <c r="JZX117" s="222"/>
      <c r="JZY117" s="222"/>
      <c r="JZZ117" s="222"/>
      <c r="KAA117" s="222"/>
      <c r="KAB117" s="222"/>
      <c r="KAC117" s="222"/>
      <c r="KAD117" s="222"/>
      <c r="KAE117" s="222"/>
      <c r="KAF117" s="222"/>
      <c r="KAG117" s="222"/>
      <c r="KAH117" s="222"/>
      <c r="KAI117" s="222"/>
      <c r="KAJ117" s="222"/>
      <c r="KAK117" s="222"/>
      <c r="KAL117" s="222"/>
      <c r="KAM117" s="222"/>
      <c r="KAN117" s="222"/>
      <c r="KAO117" s="222"/>
      <c r="KAP117" s="222"/>
      <c r="KAQ117" s="222"/>
      <c r="KAR117" s="222"/>
      <c r="KAS117" s="222"/>
      <c r="KAT117" s="222"/>
      <c r="KAU117" s="222"/>
      <c r="KAV117" s="222"/>
      <c r="KAW117" s="222"/>
      <c r="KAX117" s="222"/>
      <c r="KAY117" s="222"/>
      <c r="KAZ117" s="222"/>
      <c r="KBA117" s="222"/>
      <c r="KBB117" s="222"/>
      <c r="KBC117" s="222"/>
      <c r="KBD117" s="222"/>
      <c r="KBE117" s="222"/>
      <c r="KBF117" s="222"/>
      <c r="KBG117" s="222"/>
      <c r="KBH117" s="222"/>
      <c r="KBI117" s="222"/>
      <c r="KBJ117" s="222"/>
      <c r="KBK117" s="222"/>
      <c r="KBL117" s="222"/>
      <c r="KBM117" s="222"/>
      <c r="KBN117" s="222"/>
      <c r="KBO117" s="222"/>
      <c r="KBP117" s="222"/>
      <c r="KBQ117" s="222"/>
      <c r="KBR117" s="222"/>
      <c r="KBS117" s="222"/>
      <c r="KBT117" s="222"/>
      <c r="KBU117" s="222"/>
      <c r="KBV117" s="222"/>
      <c r="KBW117" s="222"/>
      <c r="KBX117" s="222"/>
      <c r="KBY117" s="222"/>
      <c r="KBZ117" s="222"/>
      <c r="KCA117" s="222"/>
      <c r="KCB117" s="222"/>
      <c r="KCC117" s="222"/>
      <c r="KCD117" s="222"/>
      <c r="KCE117" s="222"/>
      <c r="KCF117" s="222"/>
      <c r="KCG117" s="222"/>
      <c r="KCH117" s="222"/>
      <c r="KCI117" s="222"/>
      <c r="KCJ117" s="222"/>
      <c r="KCK117" s="222"/>
      <c r="KCL117" s="222"/>
      <c r="KCM117" s="222"/>
      <c r="KCN117" s="222"/>
      <c r="KCO117" s="222"/>
      <c r="KCP117" s="222"/>
      <c r="KCQ117" s="222"/>
      <c r="KCR117" s="222"/>
      <c r="KCS117" s="222"/>
      <c r="KCT117" s="222"/>
      <c r="KCU117" s="222"/>
      <c r="KCV117" s="222"/>
      <c r="KCW117" s="222"/>
      <c r="KCX117" s="222"/>
      <c r="KCY117" s="222"/>
      <c r="KCZ117" s="222"/>
      <c r="KDA117" s="222"/>
      <c r="KDB117" s="222"/>
      <c r="KDC117" s="222"/>
      <c r="KDD117" s="222"/>
      <c r="KDE117" s="222"/>
      <c r="KDF117" s="222"/>
      <c r="KDG117" s="222"/>
      <c r="KDH117" s="222"/>
      <c r="KDI117" s="222"/>
      <c r="KDJ117" s="222"/>
      <c r="KDK117" s="222"/>
      <c r="KDL117" s="222"/>
      <c r="KDM117" s="222"/>
      <c r="KDN117" s="222"/>
      <c r="KDO117" s="222"/>
      <c r="KDP117" s="222"/>
      <c r="KDQ117" s="222"/>
      <c r="KDR117" s="222"/>
      <c r="KDS117" s="222"/>
      <c r="KDT117" s="222"/>
      <c r="KDU117" s="222"/>
      <c r="KDV117" s="222"/>
      <c r="KDW117" s="222"/>
      <c r="KDX117" s="222"/>
      <c r="KDY117" s="222"/>
      <c r="KDZ117" s="222"/>
      <c r="KEA117" s="222"/>
      <c r="KEB117" s="222"/>
      <c r="KEC117" s="222"/>
      <c r="KED117" s="222"/>
      <c r="KEE117" s="222"/>
      <c r="KEF117" s="222"/>
      <c r="KEG117" s="222"/>
      <c r="KEH117" s="222"/>
      <c r="KEI117" s="222"/>
      <c r="KEJ117" s="222"/>
      <c r="KEK117" s="222"/>
      <c r="KEL117" s="222"/>
      <c r="KEM117" s="222"/>
      <c r="KEN117" s="222"/>
      <c r="KEO117" s="222"/>
      <c r="KEP117" s="222"/>
      <c r="KEQ117" s="222"/>
      <c r="KER117" s="222"/>
      <c r="KES117" s="222"/>
      <c r="KET117" s="222"/>
      <c r="KEU117" s="222"/>
      <c r="KEV117" s="222"/>
      <c r="KEW117" s="222"/>
      <c r="KEX117" s="222"/>
      <c r="KEY117" s="222"/>
      <c r="KEZ117" s="222"/>
      <c r="KFA117" s="222"/>
      <c r="KFB117" s="222"/>
      <c r="KFC117" s="222"/>
      <c r="KFD117" s="222"/>
      <c r="KFE117" s="222"/>
      <c r="KFF117" s="222"/>
      <c r="KFG117" s="222"/>
      <c r="KFH117" s="222"/>
      <c r="KFI117" s="222"/>
      <c r="KFJ117" s="222"/>
      <c r="KFK117" s="222"/>
      <c r="KFL117" s="222"/>
      <c r="KFM117" s="222"/>
      <c r="KFN117" s="222"/>
      <c r="KFO117" s="222"/>
      <c r="KFP117" s="222"/>
      <c r="KFQ117" s="222"/>
      <c r="KFR117" s="222"/>
      <c r="KFS117" s="222"/>
      <c r="KFT117" s="222"/>
      <c r="KFU117" s="222"/>
      <c r="KFV117" s="222"/>
      <c r="KFW117" s="222"/>
      <c r="KFX117" s="222"/>
      <c r="KFY117" s="222"/>
      <c r="KFZ117" s="222"/>
      <c r="KGA117" s="222"/>
      <c r="KGB117" s="222"/>
      <c r="KGC117" s="222"/>
      <c r="KGD117" s="222"/>
      <c r="KGE117" s="222"/>
      <c r="KGF117" s="222"/>
      <c r="KGG117" s="222"/>
      <c r="KGH117" s="222"/>
      <c r="KGI117" s="222"/>
      <c r="KGJ117" s="222"/>
      <c r="KGK117" s="222"/>
      <c r="KGL117" s="222"/>
      <c r="KGM117" s="222"/>
      <c r="KGN117" s="222"/>
      <c r="KGO117" s="222"/>
      <c r="KGP117" s="222"/>
      <c r="KGQ117" s="222"/>
      <c r="KGR117" s="222"/>
      <c r="KGS117" s="222"/>
      <c r="KGT117" s="222"/>
      <c r="KGU117" s="222"/>
      <c r="KGV117" s="222"/>
      <c r="KGW117" s="222"/>
      <c r="KGX117" s="222"/>
      <c r="KGY117" s="222"/>
      <c r="KGZ117" s="222"/>
      <c r="KHA117" s="222"/>
      <c r="KHB117" s="222"/>
      <c r="KHC117" s="222"/>
      <c r="KHD117" s="222"/>
      <c r="KHE117" s="222"/>
      <c r="KHF117" s="222"/>
      <c r="KHG117" s="222"/>
      <c r="KHH117" s="222"/>
      <c r="KHI117" s="222"/>
      <c r="KHJ117" s="222"/>
      <c r="KHK117" s="222"/>
      <c r="KHL117" s="222"/>
      <c r="KHM117" s="222"/>
      <c r="KHN117" s="222"/>
      <c r="KHO117" s="222"/>
      <c r="KHP117" s="222"/>
      <c r="KHQ117" s="222"/>
      <c r="KHR117" s="222"/>
      <c r="KHS117" s="222"/>
      <c r="KHT117" s="222"/>
      <c r="KHU117" s="222"/>
      <c r="KHV117" s="222"/>
      <c r="KHW117" s="222"/>
      <c r="KHX117" s="222"/>
      <c r="KHY117" s="222"/>
      <c r="KHZ117" s="222"/>
      <c r="KIA117" s="222"/>
      <c r="KIB117" s="222"/>
      <c r="KIC117" s="222"/>
      <c r="KID117" s="222"/>
      <c r="KIE117" s="222"/>
      <c r="KIF117" s="222"/>
      <c r="KIG117" s="222"/>
      <c r="KIH117" s="222"/>
      <c r="KII117" s="222"/>
      <c r="KIJ117" s="222"/>
      <c r="KIK117" s="222"/>
      <c r="KIL117" s="222"/>
      <c r="KIM117" s="222"/>
      <c r="KIN117" s="222"/>
      <c r="KIO117" s="222"/>
      <c r="KIP117" s="222"/>
      <c r="KIQ117" s="222"/>
      <c r="KIR117" s="222"/>
      <c r="KIS117" s="222"/>
      <c r="KIT117" s="222"/>
      <c r="KIU117" s="222"/>
      <c r="KIV117" s="222"/>
      <c r="KIW117" s="222"/>
      <c r="KIX117" s="222"/>
      <c r="KIY117" s="222"/>
      <c r="KIZ117" s="222"/>
      <c r="KJA117" s="222"/>
      <c r="KJB117" s="222"/>
      <c r="KJC117" s="222"/>
      <c r="KJD117" s="222"/>
      <c r="KJE117" s="222"/>
      <c r="KJF117" s="222"/>
      <c r="KJG117" s="222"/>
      <c r="KJH117" s="222"/>
      <c r="KJI117" s="222"/>
      <c r="KJJ117" s="222"/>
      <c r="KJK117" s="222"/>
      <c r="KJL117" s="222"/>
      <c r="KJM117" s="222"/>
      <c r="KJN117" s="222"/>
      <c r="KJO117" s="222"/>
      <c r="KJP117" s="222"/>
      <c r="KJQ117" s="222"/>
      <c r="KJR117" s="222"/>
      <c r="KJS117" s="222"/>
      <c r="KJT117" s="222"/>
      <c r="KJU117" s="222"/>
      <c r="KJV117" s="222"/>
      <c r="KJW117" s="222"/>
      <c r="KJX117" s="222"/>
      <c r="KJY117" s="222"/>
      <c r="KJZ117" s="222"/>
      <c r="KKA117" s="222"/>
      <c r="KKB117" s="222"/>
      <c r="KKC117" s="222"/>
      <c r="KKD117" s="222"/>
      <c r="KKE117" s="222"/>
      <c r="KKF117" s="222"/>
      <c r="KKG117" s="222"/>
      <c r="KKH117" s="222"/>
      <c r="KKI117" s="222"/>
      <c r="KKJ117" s="222"/>
      <c r="KKK117" s="222"/>
      <c r="KKL117" s="222"/>
      <c r="KKM117" s="222"/>
      <c r="KKN117" s="222"/>
      <c r="KKO117" s="222"/>
      <c r="KKP117" s="222"/>
      <c r="KKQ117" s="222"/>
      <c r="KKR117" s="222"/>
      <c r="KKS117" s="222"/>
      <c r="KKT117" s="222"/>
      <c r="KKU117" s="222"/>
      <c r="KKV117" s="222"/>
      <c r="KKW117" s="222"/>
      <c r="KKX117" s="222"/>
      <c r="KKY117" s="222"/>
      <c r="KKZ117" s="222"/>
      <c r="KLA117" s="222"/>
      <c r="KLB117" s="222"/>
      <c r="KLC117" s="222"/>
      <c r="KLD117" s="222"/>
      <c r="KLE117" s="222"/>
      <c r="KLF117" s="222"/>
      <c r="KLG117" s="222"/>
      <c r="KLH117" s="222"/>
      <c r="KLI117" s="222"/>
      <c r="KLJ117" s="222"/>
      <c r="KLK117" s="222"/>
      <c r="KLL117" s="222"/>
      <c r="KLM117" s="222"/>
      <c r="KLN117" s="222"/>
      <c r="KLO117" s="222"/>
      <c r="KLP117" s="222"/>
      <c r="KLQ117" s="222"/>
      <c r="KLR117" s="222"/>
      <c r="KLS117" s="222"/>
      <c r="KLT117" s="222"/>
      <c r="KLU117" s="222"/>
      <c r="KLV117" s="222"/>
      <c r="KLW117" s="222"/>
      <c r="KLX117" s="222"/>
      <c r="KLY117" s="222"/>
      <c r="KLZ117" s="222"/>
      <c r="KMA117" s="222"/>
      <c r="KMB117" s="222"/>
      <c r="KMC117" s="222"/>
      <c r="KMD117" s="222"/>
      <c r="KME117" s="222"/>
      <c r="KMF117" s="222"/>
      <c r="KMG117" s="222"/>
      <c r="KMH117" s="222"/>
      <c r="KMI117" s="222"/>
      <c r="KMJ117" s="222"/>
      <c r="KMK117" s="222"/>
      <c r="KML117" s="222"/>
      <c r="KMM117" s="222"/>
      <c r="KMN117" s="222"/>
      <c r="KMO117" s="222"/>
      <c r="KMP117" s="222"/>
      <c r="KMQ117" s="222"/>
      <c r="KMR117" s="222"/>
      <c r="KMS117" s="222"/>
      <c r="KMT117" s="222"/>
      <c r="KMU117" s="222"/>
      <c r="KMV117" s="222"/>
      <c r="KMW117" s="222"/>
      <c r="KMX117" s="222"/>
      <c r="KMY117" s="222"/>
      <c r="KMZ117" s="222"/>
      <c r="KNA117" s="222"/>
      <c r="KNB117" s="222"/>
      <c r="KNC117" s="222"/>
      <c r="KND117" s="222"/>
      <c r="KNE117" s="222"/>
      <c r="KNF117" s="222"/>
      <c r="KNG117" s="222"/>
      <c r="KNH117" s="222"/>
      <c r="KNI117" s="222"/>
      <c r="KNJ117" s="222"/>
      <c r="KNK117" s="222"/>
      <c r="KNL117" s="222"/>
      <c r="KNM117" s="222"/>
      <c r="KNN117" s="222"/>
      <c r="KNO117" s="222"/>
      <c r="KNP117" s="222"/>
      <c r="KNQ117" s="222"/>
      <c r="KNR117" s="222"/>
      <c r="KNS117" s="222"/>
      <c r="KNT117" s="222"/>
      <c r="KNU117" s="222"/>
      <c r="KNV117" s="222"/>
      <c r="KNW117" s="222"/>
      <c r="KNX117" s="222"/>
      <c r="KNY117" s="222"/>
      <c r="KNZ117" s="222"/>
      <c r="KOA117" s="222"/>
      <c r="KOB117" s="222"/>
      <c r="KOC117" s="222"/>
      <c r="KOD117" s="222"/>
      <c r="KOE117" s="222"/>
      <c r="KOF117" s="222"/>
      <c r="KOG117" s="222"/>
      <c r="KOH117" s="222"/>
      <c r="KOI117" s="222"/>
      <c r="KOJ117" s="222"/>
      <c r="KOK117" s="222"/>
      <c r="KOL117" s="222"/>
      <c r="KOM117" s="222"/>
      <c r="KON117" s="222"/>
      <c r="KOO117" s="222"/>
      <c r="KOP117" s="222"/>
      <c r="KOQ117" s="222"/>
      <c r="KOR117" s="222"/>
      <c r="KOS117" s="222"/>
      <c r="KOT117" s="222"/>
      <c r="KOU117" s="222"/>
      <c r="KOV117" s="222"/>
      <c r="KOW117" s="222"/>
      <c r="KOX117" s="222"/>
      <c r="KOY117" s="222"/>
      <c r="KOZ117" s="222"/>
      <c r="KPA117" s="222"/>
      <c r="KPB117" s="222"/>
      <c r="KPC117" s="222"/>
      <c r="KPD117" s="222"/>
      <c r="KPE117" s="222"/>
      <c r="KPF117" s="222"/>
      <c r="KPG117" s="222"/>
      <c r="KPH117" s="222"/>
      <c r="KPI117" s="222"/>
      <c r="KPJ117" s="222"/>
      <c r="KPK117" s="222"/>
      <c r="KPL117" s="222"/>
      <c r="KPM117" s="222"/>
      <c r="KPN117" s="222"/>
      <c r="KPO117" s="222"/>
      <c r="KPP117" s="222"/>
      <c r="KPQ117" s="222"/>
      <c r="KPR117" s="222"/>
      <c r="KPS117" s="222"/>
      <c r="KPT117" s="222"/>
      <c r="KPU117" s="222"/>
      <c r="KPV117" s="222"/>
      <c r="KPW117" s="222"/>
      <c r="KPX117" s="222"/>
      <c r="KPY117" s="222"/>
      <c r="KPZ117" s="222"/>
      <c r="KQA117" s="222"/>
      <c r="KQB117" s="222"/>
      <c r="KQC117" s="222"/>
      <c r="KQD117" s="222"/>
      <c r="KQE117" s="222"/>
      <c r="KQF117" s="222"/>
      <c r="KQG117" s="222"/>
      <c r="KQH117" s="222"/>
      <c r="KQI117" s="222"/>
      <c r="KQJ117" s="222"/>
      <c r="KQK117" s="222"/>
      <c r="KQL117" s="222"/>
      <c r="KQM117" s="222"/>
      <c r="KQN117" s="222"/>
      <c r="KQO117" s="222"/>
      <c r="KQP117" s="222"/>
      <c r="KQQ117" s="222"/>
      <c r="KQR117" s="222"/>
      <c r="KQS117" s="222"/>
      <c r="KQT117" s="222"/>
      <c r="KQU117" s="222"/>
      <c r="KQV117" s="222"/>
      <c r="KQW117" s="222"/>
      <c r="KQX117" s="222"/>
      <c r="KQY117" s="222"/>
      <c r="KQZ117" s="222"/>
      <c r="KRA117" s="222"/>
      <c r="KRB117" s="222"/>
      <c r="KRC117" s="222"/>
      <c r="KRD117" s="222"/>
      <c r="KRE117" s="222"/>
      <c r="KRF117" s="222"/>
      <c r="KRG117" s="222"/>
      <c r="KRH117" s="222"/>
      <c r="KRI117" s="222"/>
      <c r="KRJ117" s="222"/>
      <c r="KRK117" s="222"/>
      <c r="KRL117" s="222"/>
      <c r="KRM117" s="222"/>
      <c r="KRN117" s="222"/>
      <c r="KRO117" s="222"/>
      <c r="KRP117" s="222"/>
      <c r="KRQ117" s="222"/>
      <c r="KRR117" s="222"/>
      <c r="KRS117" s="222"/>
      <c r="KRT117" s="222"/>
      <c r="KRU117" s="222"/>
      <c r="KRV117" s="222"/>
      <c r="KRW117" s="222"/>
      <c r="KRX117" s="222"/>
      <c r="KRY117" s="222"/>
      <c r="KRZ117" s="222"/>
      <c r="KSA117" s="222"/>
      <c r="KSB117" s="222"/>
      <c r="KSC117" s="222"/>
      <c r="KSD117" s="222"/>
      <c r="KSE117" s="222"/>
      <c r="KSF117" s="222"/>
      <c r="KSG117" s="222"/>
      <c r="KSH117" s="222"/>
      <c r="KSI117" s="222"/>
      <c r="KSJ117" s="222"/>
      <c r="KSK117" s="222"/>
      <c r="KSL117" s="222"/>
      <c r="KSM117" s="222"/>
      <c r="KSN117" s="222"/>
      <c r="KSO117" s="222"/>
      <c r="KSP117" s="222"/>
      <c r="KSQ117" s="222"/>
      <c r="KSR117" s="222"/>
      <c r="KSS117" s="222"/>
      <c r="KST117" s="222"/>
      <c r="KSU117" s="222"/>
      <c r="KSV117" s="222"/>
      <c r="KSW117" s="222"/>
      <c r="KSX117" s="222"/>
      <c r="KSY117" s="222"/>
      <c r="KSZ117" s="222"/>
      <c r="KTA117" s="222"/>
      <c r="KTB117" s="222"/>
      <c r="KTC117" s="222"/>
      <c r="KTD117" s="222"/>
      <c r="KTE117" s="222"/>
      <c r="KTF117" s="222"/>
      <c r="KTG117" s="222"/>
      <c r="KTH117" s="222"/>
      <c r="KTI117" s="222"/>
      <c r="KTJ117" s="222"/>
      <c r="KTK117" s="222"/>
      <c r="KTL117" s="222"/>
      <c r="KTM117" s="222"/>
      <c r="KTN117" s="222"/>
      <c r="KTO117" s="222"/>
      <c r="KTP117" s="222"/>
      <c r="KTQ117" s="222"/>
      <c r="KTR117" s="222"/>
      <c r="KTS117" s="222"/>
      <c r="KTT117" s="222"/>
      <c r="KTU117" s="222"/>
      <c r="KTV117" s="222"/>
      <c r="KTW117" s="222"/>
      <c r="KTX117" s="222"/>
      <c r="KTY117" s="222"/>
      <c r="KTZ117" s="222"/>
      <c r="KUA117" s="222"/>
      <c r="KUB117" s="222"/>
      <c r="KUC117" s="222"/>
      <c r="KUD117" s="222"/>
      <c r="KUE117" s="222"/>
      <c r="KUF117" s="222"/>
      <c r="KUG117" s="222"/>
      <c r="KUH117" s="222"/>
      <c r="KUI117" s="222"/>
      <c r="KUJ117" s="222"/>
      <c r="KUK117" s="222"/>
      <c r="KUL117" s="222"/>
      <c r="KUM117" s="222"/>
      <c r="KUN117" s="222"/>
      <c r="KUO117" s="222"/>
      <c r="KUP117" s="222"/>
      <c r="KUQ117" s="222"/>
      <c r="KUR117" s="222"/>
      <c r="KUS117" s="222"/>
      <c r="KUT117" s="222"/>
      <c r="KUU117" s="222"/>
      <c r="KUV117" s="222"/>
      <c r="KUW117" s="222"/>
      <c r="KUX117" s="222"/>
      <c r="KUY117" s="222"/>
      <c r="KUZ117" s="222"/>
      <c r="KVA117" s="222"/>
      <c r="KVB117" s="222"/>
      <c r="KVC117" s="222"/>
      <c r="KVD117" s="222"/>
      <c r="KVE117" s="222"/>
      <c r="KVF117" s="222"/>
      <c r="KVG117" s="222"/>
      <c r="KVH117" s="222"/>
      <c r="KVI117" s="222"/>
      <c r="KVJ117" s="222"/>
      <c r="KVK117" s="222"/>
      <c r="KVL117" s="222"/>
      <c r="KVM117" s="222"/>
      <c r="KVN117" s="222"/>
      <c r="KVO117" s="222"/>
      <c r="KVP117" s="222"/>
      <c r="KVQ117" s="222"/>
      <c r="KVR117" s="222"/>
      <c r="KVS117" s="222"/>
      <c r="KVT117" s="222"/>
      <c r="KVU117" s="222"/>
      <c r="KVV117" s="222"/>
      <c r="KVW117" s="222"/>
      <c r="KVX117" s="222"/>
      <c r="KVY117" s="222"/>
      <c r="KVZ117" s="222"/>
      <c r="KWA117" s="222"/>
      <c r="KWB117" s="222"/>
      <c r="KWC117" s="222"/>
      <c r="KWD117" s="222"/>
      <c r="KWE117" s="222"/>
      <c r="KWF117" s="222"/>
      <c r="KWG117" s="222"/>
      <c r="KWH117" s="222"/>
      <c r="KWI117" s="222"/>
      <c r="KWJ117" s="222"/>
      <c r="KWK117" s="222"/>
      <c r="KWL117" s="222"/>
      <c r="KWM117" s="222"/>
      <c r="KWN117" s="222"/>
      <c r="KWO117" s="222"/>
      <c r="KWP117" s="222"/>
      <c r="KWQ117" s="222"/>
      <c r="KWR117" s="222"/>
      <c r="KWS117" s="222"/>
      <c r="KWT117" s="222"/>
      <c r="KWU117" s="222"/>
      <c r="KWV117" s="222"/>
      <c r="KWW117" s="222"/>
      <c r="KWX117" s="222"/>
      <c r="KWY117" s="222"/>
      <c r="KWZ117" s="222"/>
      <c r="KXA117" s="222"/>
      <c r="KXB117" s="222"/>
      <c r="KXC117" s="222"/>
      <c r="KXD117" s="222"/>
      <c r="KXE117" s="222"/>
      <c r="KXF117" s="222"/>
      <c r="KXG117" s="222"/>
      <c r="KXH117" s="222"/>
      <c r="KXI117" s="222"/>
      <c r="KXJ117" s="222"/>
      <c r="KXK117" s="222"/>
      <c r="KXL117" s="222"/>
      <c r="KXM117" s="222"/>
      <c r="KXN117" s="222"/>
      <c r="KXO117" s="222"/>
      <c r="KXP117" s="222"/>
      <c r="KXQ117" s="222"/>
      <c r="KXR117" s="222"/>
      <c r="KXS117" s="222"/>
      <c r="KXT117" s="222"/>
      <c r="KXU117" s="222"/>
      <c r="KXV117" s="222"/>
      <c r="KXW117" s="222"/>
      <c r="KXX117" s="222"/>
      <c r="KXY117" s="222"/>
      <c r="KXZ117" s="222"/>
      <c r="KYA117" s="222"/>
      <c r="KYB117" s="222"/>
      <c r="KYC117" s="222"/>
      <c r="KYD117" s="222"/>
      <c r="KYE117" s="222"/>
      <c r="KYF117" s="222"/>
      <c r="KYG117" s="222"/>
      <c r="KYH117" s="222"/>
      <c r="KYI117" s="222"/>
      <c r="KYJ117" s="222"/>
      <c r="KYK117" s="222"/>
      <c r="KYL117" s="222"/>
      <c r="KYM117" s="222"/>
      <c r="KYN117" s="222"/>
      <c r="KYO117" s="222"/>
      <c r="KYP117" s="222"/>
      <c r="KYQ117" s="222"/>
      <c r="KYR117" s="222"/>
      <c r="KYS117" s="222"/>
      <c r="KYT117" s="222"/>
      <c r="KYU117" s="222"/>
      <c r="KYV117" s="222"/>
      <c r="KYW117" s="222"/>
      <c r="KYX117" s="222"/>
      <c r="KYY117" s="222"/>
      <c r="KYZ117" s="222"/>
      <c r="KZA117" s="222"/>
      <c r="KZB117" s="222"/>
      <c r="KZC117" s="222"/>
      <c r="KZD117" s="222"/>
      <c r="KZE117" s="222"/>
      <c r="KZF117" s="222"/>
      <c r="KZG117" s="222"/>
      <c r="KZH117" s="222"/>
      <c r="KZI117" s="222"/>
      <c r="KZJ117" s="222"/>
      <c r="KZK117" s="222"/>
      <c r="KZL117" s="222"/>
      <c r="KZM117" s="222"/>
      <c r="KZN117" s="222"/>
      <c r="KZO117" s="222"/>
      <c r="KZP117" s="222"/>
      <c r="KZQ117" s="222"/>
      <c r="KZR117" s="222"/>
      <c r="KZS117" s="222"/>
      <c r="KZT117" s="222"/>
      <c r="KZU117" s="222"/>
      <c r="KZV117" s="222"/>
      <c r="KZW117" s="222"/>
      <c r="KZX117" s="222"/>
      <c r="KZY117" s="222"/>
      <c r="KZZ117" s="222"/>
      <c r="LAA117" s="222"/>
      <c r="LAB117" s="222"/>
      <c r="LAC117" s="222"/>
      <c r="LAD117" s="222"/>
      <c r="LAE117" s="222"/>
      <c r="LAF117" s="222"/>
      <c r="LAG117" s="222"/>
      <c r="LAH117" s="222"/>
      <c r="LAI117" s="222"/>
      <c r="LAJ117" s="222"/>
      <c r="LAK117" s="222"/>
      <c r="LAL117" s="222"/>
      <c r="LAM117" s="222"/>
      <c r="LAN117" s="222"/>
      <c r="LAO117" s="222"/>
      <c r="LAP117" s="222"/>
      <c r="LAQ117" s="222"/>
      <c r="LAR117" s="222"/>
      <c r="LAS117" s="222"/>
      <c r="LAT117" s="222"/>
      <c r="LAU117" s="222"/>
      <c r="LAV117" s="222"/>
      <c r="LAW117" s="222"/>
      <c r="LAX117" s="222"/>
      <c r="LAY117" s="222"/>
      <c r="LAZ117" s="222"/>
      <c r="LBA117" s="222"/>
      <c r="LBB117" s="222"/>
      <c r="LBC117" s="222"/>
      <c r="LBD117" s="222"/>
      <c r="LBE117" s="222"/>
      <c r="LBF117" s="222"/>
      <c r="LBG117" s="222"/>
      <c r="LBH117" s="222"/>
      <c r="LBI117" s="222"/>
      <c r="LBJ117" s="222"/>
      <c r="LBK117" s="222"/>
      <c r="LBL117" s="222"/>
      <c r="LBM117" s="222"/>
      <c r="LBN117" s="222"/>
      <c r="LBO117" s="222"/>
      <c r="LBP117" s="222"/>
      <c r="LBQ117" s="222"/>
      <c r="LBR117" s="222"/>
      <c r="LBS117" s="222"/>
      <c r="LBT117" s="222"/>
      <c r="LBU117" s="222"/>
      <c r="LBV117" s="222"/>
      <c r="LBW117" s="222"/>
      <c r="LBX117" s="222"/>
      <c r="LBY117" s="222"/>
      <c r="LBZ117" s="222"/>
      <c r="LCA117" s="222"/>
      <c r="LCB117" s="222"/>
      <c r="LCC117" s="222"/>
      <c r="LCD117" s="222"/>
      <c r="LCE117" s="222"/>
      <c r="LCF117" s="222"/>
      <c r="LCG117" s="222"/>
      <c r="LCH117" s="222"/>
      <c r="LCI117" s="222"/>
      <c r="LCJ117" s="222"/>
      <c r="LCK117" s="222"/>
      <c r="LCL117" s="222"/>
      <c r="LCM117" s="222"/>
      <c r="LCN117" s="222"/>
      <c r="LCO117" s="222"/>
      <c r="LCP117" s="222"/>
      <c r="LCQ117" s="222"/>
      <c r="LCR117" s="222"/>
      <c r="LCS117" s="222"/>
      <c r="LCT117" s="222"/>
      <c r="LCU117" s="222"/>
      <c r="LCV117" s="222"/>
      <c r="LCW117" s="222"/>
      <c r="LCX117" s="222"/>
      <c r="LCY117" s="222"/>
      <c r="LCZ117" s="222"/>
      <c r="LDA117" s="222"/>
      <c r="LDB117" s="222"/>
      <c r="LDC117" s="222"/>
      <c r="LDD117" s="222"/>
      <c r="LDE117" s="222"/>
      <c r="LDF117" s="222"/>
      <c r="LDG117" s="222"/>
      <c r="LDH117" s="222"/>
      <c r="LDI117" s="222"/>
      <c r="LDJ117" s="222"/>
      <c r="LDK117" s="222"/>
      <c r="LDL117" s="222"/>
      <c r="LDM117" s="222"/>
      <c r="LDN117" s="222"/>
      <c r="LDO117" s="222"/>
      <c r="LDP117" s="222"/>
      <c r="LDQ117" s="222"/>
      <c r="LDR117" s="222"/>
      <c r="LDS117" s="222"/>
      <c r="LDT117" s="222"/>
      <c r="LDU117" s="222"/>
      <c r="LDV117" s="222"/>
      <c r="LDW117" s="222"/>
      <c r="LDX117" s="222"/>
      <c r="LDY117" s="222"/>
      <c r="LDZ117" s="222"/>
      <c r="LEA117" s="222"/>
      <c r="LEB117" s="222"/>
      <c r="LEC117" s="222"/>
      <c r="LED117" s="222"/>
      <c r="LEE117" s="222"/>
      <c r="LEF117" s="222"/>
      <c r="LEG117" s="222"/>
      <c r="LEH117" s="222"/>
      <c r="LEI117" s="222"/>
      <c r="LEJ117" s="222"/>
      <c r="LEK117" s="222"/>
      <c r="LEL117" s="222"/>
      <c r="LEM117" s="222"/>
      <c r="LEN117" s="222"/>
      <c r="LEO117" s="222"/>
      <c r="LEP117" s="222"/>
      <c r="LEQ117" s="222"/>
      <c r="LER117" s="222"/>
      <c r="LES117" s="222"/>
      <c r="LET117" s="222"/>
      <c r="LEU117" s="222"/>
      <c r="LEV117" s="222"/>
      <c r="LEW117" s="222"/>
      <c r="LEX117" s="222"/>
      <c r="LEY117" s="222"/>
      <c r="LEZ117" s="222"/>
      <c r="LFA117" s="222"/>
      <c r="LFB117" s="222"/>
      <c r="LFC117" s="222"/>
      <c r="LFD117" s="222"/>
      <c r="LFE117" s="222"/>
      <c r="LFF117" s="222"/>
      <c r="LFG117" s="222"/>
      <c r="LFH117" s="222"/>
      <c r="LFI117" s="222"/>
      <c r="LFJ117" s="222"/>
      <c r="LFK117" s="222"/>
      <c r="LFL117" s="222"/>
      <c r="LFM117" s="222"/>
      <c r="LFN117" s="222"/>
      <c r="LFO117" s="222"/>
      <c r="LFP117" s="222"/>
      <c r="LFQ117" s="222"/>
      <c r="LFR117" s="222"/>
      <c r="LFS117" s="222"/>
      <c r="LFT117" s="222"/>
      <c r="LFU117" s="222"/>
      <c r="LFV117" s="222"/>
      <c r="LFW117" s="222"/>
      <c r="LFX117" s="222"/>
      <c r="LFY117" s="222"/>
      <c r="LFZ117" s="222"/>
      <c r="LGA117" s="222"/>
      <c r="LGB117" s="222"/>
      <c r="LGC117" s="222"/>
      <c r="LGD117" s="222"/>
      <c r="LGE117" s="222"/>
      <c r="LGF117" s="222"/>
      <c r="LGG117" s="222"/>
      <c r="LGH117" s="222"/>
      <c r="LGI117" s="222"/>
      <c r="LGJ117" s="222"/>
      <c r="LGK117" s="222"/>
      <c r="LGL117" s="222"/>
      <c r="LGM117" s="222"/>
      <c r="LGN117" s="222"/>
      <c r="LGO117" s="222"/>
      <c r="LGP117" s="222"/>
      <c r="LGQ117" s="222"/>
      <c r="LGR117" s="222"/>
      <c r="LGS117" s="222"/>
      <c r="LGT117" s="222"/>
      <c r="LGU117" s="222"/>
      <c r="LGV117" s="222"/>
      <c r="LGW117" s="222"/>
      <c r="LGX117" s="222"/>
      <c r="LGY117" s="222"/>
      <c r="LGZ117" s="222"/>
      <c r="LHA117" s="222"/>
      <c r="LHB117" s="222"/>
      <c r="LHC117" s="222"/>
      <c r="LHD117" s="222"/>
      <c r="LHE117" s="222"/>
      <c r="LHF117" s="222"/>
      <c r="LHG117" s="222"/>
      <c r="LHH117" s="222"/>
      <c r="LHI117" s="222"/>
      <c r="LHJ117" s="222"/>
      <c r="LHK117" s="222"/>
      <c r="LHL117" s="222"/>
      <c r="LHM117" s="222"/>
      <c r="LHN117" s="222"/>
      <c r="LHO117" s="222"/>
      <c r="LHP117" s="222"/>
      <c r="LHQ117" s="222"/>
      <c r="LHR117" s="222"/>
      <c r="LHS117" s="222"/>
      <c r="LHT117" s="222"/>
      <c r="LHU117" s="222"/>
      <c r="LHV117" s="222"/>
      <c r="LHW117" s="222"/>
      <c r="LHX117" s="222"/>
      <c r="LHY117" s="222"/>
      <c r="LHZ117" s="222"/>
      <c r="LIA117" s="222"/>
      <c r="LIB117" s="222"/>
      <c r="LIC117" s="222"/>
      <c r="LID117" s="222"/>
      <c r="LIE117" s="222"/>
      <c r="LIF117" s="222"/>
      <c r="LIG117" s="222"/>
      <c r="LIH117" s="222"/>
      <c r="LII117" s="222"/>
      <c r="LIJ117" s="222"/>
      <c r="LIK117" s="222"/>
      <c r="LIL117" s="222"/>
      <c r="LIM117" s="222"/>
      <c r="LIN117" s="222"/>
      <c r="LIO117" s="222"/>
      <c r="LIP117" s="222"/>
      <c r="LIQ117" s="222"/>
      <c r="LIR117" s="222"/>
      <c r="LIS117" s="222"/>
      <c r="LIT117" s="222"/>
      <c r="LIU117" s="222"/>
      <c r="LIV117" s="222"/>
      <c r="LIW117" s="222"/>
      <c r="LIX117" s="222"/>
      <c r="LIY117" s="222"/>
      <c r="LIZ117" s="222"/>
      <c r="LJA117" s="222"/>
      <c r="LJB117" s="222"/>
      <c r="LJC117" s="222"/>
      <c r="LJD117" s="222"/>
      <c r="LJE117" s="222"/>
      <c r="LJF117" s="222"/>
      <c r="LJG117" s="222"/>
      <c r="LJH117" s="222"/>
      <c r="LJI117" s="222"/>
      <c r="LJJ117" s="222"/>
      <c r="LJK117" s="222"/>
      <c r="LJL117" s="222"/>
      <c r="LJM117" s="222"/>
      <c r="LJN117" s="222"/>
      <c r="LJO117" s="222"/>
      <c r="LJP117" s="222"/>
      <c r="LJQ117" s="222"/>
      <c r="LJR117" s="222"/>
      <c r="LJS117" s="222"/>
      <c r="LJT117" s="222"/>
      <c r="LJU117" s="222"/>
      <c r="LJV117" s="222"/>
      <c r="LJW117" s="222"/>
      <c r="LJX117" s="222"/>
      <c r="LJY117" s="222"/>
      <c r="LJZ117" s="222"/>
      <c r="LKA117" s="222"/>
      <c r="LKB117" s="222"/>
      <c r="LKC117" s="222"/>
      <c r="LKD117" s="222"/>
      <c r="LKE117" s="222"/>
      <c r="LKF117" s="222"/>
      <c r="LKG117" s="222"/>
      <c r="LKH117" s="222"/>
      <c r="LKI117" s="222"/>
      <c r="LKJ117" s="222"/>
      <c r="LKK117" s="222"/>
      <c r="LKL117" s="222"/>
      <c r="LKM117" s="222"/>
      <c r="LKN117" s="222"/>
      <c r="LKO117" s="222"/>
      <c r="LKP117" s="222"/>
      <c r="LKQ117" s="222"/>
      <c r="LKR117" s="222"/>
      <c r="LKS117" s="222"/>
      <c r="LKT117" s="222"/>
      <c r="LKU117" s="222"/>
      <c r="LKV117" s="222"/>
      <c r="LKW117" s="222"/>
      <c r="LKX117" s="222"/>
      <c r="LKY117" s="222"/>
      <c r="LKZ117" s="222"/>
      <c r="LLA117" s="222"/>
      <c r="LLB117" s="222"/>
      <c r="LLC117" s="222"/>
      <c r="LLD117" s="222"/>
      <c r="LLE117" s="222"/>
      <c r="LLF117" s="222"/>
      <c r="LLG117" s="222"/>
      <c r="LLH117" s="222"/>
      <c r="LLI117" s="222"/>
      <c r="LLJ117" s="222"/>
      <c r="LLK117" s="222"/>
      <c r="LLL117" s="222"/>
      <c r="LLM117" s="222"/>
      <c r="LLN117" s="222"/>
      <c r="LLO117" s="222"/>
      <c r="LLP117" s="222"/>
      <c r="LLQ117" s="222"/>
      <c r="LLR117" s="222"/>
      <c r="LLS117" s="222"/>
      <c r="LLT117" s="222"/>
      <c r="LLU117" s="222"/>
      <c r="LLV117" s="222"/>
      <c r="LLW117" s="222"/>
      <c r="LLX117" s="222"/>
      <c r="LLY117" s="222"/>
      <c r="LLZ117" s="222"/>
      <c r="LMA117" s="222"/>
      <c r="LMB117" s="222"/>
      <c r="LMC117" s="222"/>
      <c r="LMD117" s="222"/>
      <c r="LME117" s="222"/>
      <c r="LMF117" s="222"/>
      <c r="LMG117" s="222"/>
      <c r="LMH117" s="222"/>
      <c r="LMI117" s="222"/>
      <c r="LMJ117" s="222"/>
      <c r="LMK117" s="222"/>
      <c r="LML117" s="222"/>
      <c r="LMM117" s="222"/>
      <c r="LMN117" s="222"/>
      <c r="LMO117" s="222"/>
      <c r="LMP117" s="222"/>
      <c r="LMQ117" s="222"/>
      <c r="LMR117" s="222"/>
      <c r="LMS117" s="222"/>
      <c r="LMT117" s="222"/>
      <c r="LMU117" s="222"/>
      <c r="LMV117" s="222"/>
      <c r="LMW117" s="222"/>
      <c r="LMX117" s="222"/>
      <c r="LMY117" s="222"/>
      <c r="LMZ117" s="222"/>
      <c r="LNA117" s="222"/>
      <c r="LNB117" s="222"/>
      <c r="LNC117" s="222"/>
      <c r="LND117" s="222"/>
      <c r="LNE117" s="222"/>
      <c r="LNF117" s="222"/>
      <c r="LNG117" s="222"/>
      <c r="LNH117" s="222"/>
      <c r="LNI117" s="222"/>
      <c r="LNJ117" s="222"/>
      <c r="LNK117" s="222"/>
      <c r="LNL117" s="222"/>
      <c r="LNM117" s="222"/>
      <c r="LNN117" s="222"/>
      <c r="LNO117" s="222"/>
      <c r="LNP117" s="222"/>
      <c r="LNQ117" s="222"/>
      <c r="LNR117" s="222"/>
      <c r="LNS117" s="222"/>
      <c r="LNT117" s="222"/>
      <c r="LNU117" s="222"/>
      <c r="LNV117" s="222"/>
      <c r="LNW117" s="222"/>
      <c r="LNX117" s="222"/>
      <c r="LNY117" s="222"/>
      <c r="LNZ117" s="222"/>
      <c r="LOA117" s="222"/>
      <c r="LOB117" s="222"/>
      <c r="LOC117" s="222"/>
      <c r="LOD117" s="222"/>
      <c r="LOE117" s="222"/>
      <c r="LOF117" s="222"/>
      <c r="LOG117" s="222"/>
      <c r="LOH117" s="222"/>
      <c r="LOI117" s="222"/>
      <c r="LOJ117" s="222"/>
      <c r="LOK117" s="222"/>
      <c r="LOL117" s="222"/>
      <c r="LOM117" s="222"/>
      <c r="LON117" s="222"/>
      <c r="LOO117" s="222"/>
      <c r="LOP117" s="222"/>
      <c r="LOQ117" s="222"/>
      <c r="LOR117" s="222"/>
      <c r="LOS117" s="222"/>
      <c r="LOT117" s="222"/>
      <c r="LOU117" s="222"/>
      <c r="LOV117" s="222"/>
      <c r="LOW117" s="222"/>
      <c r="LOX117" s="222"/>
      <c r="LOY117" s="222"/>
      <c r="LOZ117" s="222"/>
      <c r="LPA117" s="222"/>
      <c r="LPB117" s="222"/>
      <c r="LPC117" s="222"/>
      <c r="LPD117" s="222"/>
      <c r="LPE117" s="222"/>
      <c r="LPF117" s="222"/>
      <c r="LPG117" s="222"/>
      <c r="LPH117" s="222"/>
      <c r="LPI117" s="222"/>
      <c r="LPJ117" s="222"/>
      <c r="LPK117" s="222"/>
      <c r="LPL117" s="222"/>
      <c r="LPM117" s="222"/>
      <c r="LPN117" s="222"/>
      <c r="LPO117" s="222"/>
      <c r="LPP117" s="222"/>
      <c r="LPQ117" s="222"/>
      <c r="LPR117" s="222"/>
      <c r="LPS117" s="222"/>
      <c r="LPT117" s="222"/>
      <c r="LPU117" s="222"/>
      <c r="LPV117" s="222"/>
      <c r="LPW117" s="222"/>
      <c r="LPX117" s="222"/>
      <c r="LPY117" s="222"/>
      <c r="LPZ117" s="222"/>
      <c r="LQA117" s="222"/>
      <c r="LQB117" s="222"/>
      <c r="LQC117" s="222"/>
      <c r="LQD117" s="222"/>
      <c r="LQE117" s="222"/>
      <c r="LQF117" s="222"/>
      <c r="LQG117" s="222"/>
      <c r="LQH117" s="222"/>
      <c r="LQI117" s="222"/>
      <c r="LQJ117" s="222"/>
      <c r="LQK117" s="222"/>
      <c r="LQL117" s="222"/>
      <c r="LQM117" s="222"/>
      <c r="LQN117" s="222"/>
      <c r="LQO117" s="222"/>
      <c r="LQP117" s="222"/>
      <c r="LQQ117" s="222"/>
      <c r="LQR117" s="222"/>
      <c r="LQS117" s="222"/>
      <c r="LQT117" s="222"/>
      <c r="LQU117" s="222"/>
      <c r="LQV117" s="222"/>
      <c r="LQW117" s="222"/>
      <c r="LQX117" s="222"/>
      <c r="LQY117" s="222"/>
      <c r="LQZ117" s="222"/>
      <c r="LRA117" s="222"/>
      <c r="LRB117" s="222"/>
      <c r="LRC117" s="222"/>
      <c r="LRD117" s="222"/>
      <c r="LRE117" s="222"/>
      <c r="LRF117" s="222"/>
      <c r="LRG117" s="222"/>
      <c r="LRH117" s="222"/>
      <c r="LRI117" s="222"/>
      <c r="LRJ117" s="222"/>
      <c r="LRK117" s="222"/>
      <c r="LRL117" s="222"/>
      <c r="LRM117" s="222"/>
      <c r="LRN117" s="222"/>
      <c r="LRO117" s="222"/>
      <c r="LRP117" s="222"/>
      <c r="LRQ117" s="222"/>
      <c r="LRR117" s="222"/>
      <c r="LRS117" s="222"/>
      <c r="LRT117" s="222"/>
      <c r="LRU117" s="222"/>
      <c r="LRV117" s="222"/>
      <c r="LRW117" s="222"/>
      <c r="LRX117" s="222"/>
      <c r="LRY117" s="222"/>
      <c r="LRZ117" s="222"/>
      <c r="LSA117" s="222"/>
      <c r="LSB117" s="222"/>
      <c r="LSC117" s="222"/>
      <c r="LSD117" s="222"/>
      <c r="LSE117" s="222"/>
      <c r="LSF117" s="222"/>
      <c r="LSG117" s="222"/>
      <c r="LSH117" s="222"/>
      <c r="LSI117" s="222"/>
      <c r="LSJ117" s="222"/>
      <c r="LSK117" s="222"/>
      <c r="LSL117" s="222"/>
      <c r="LSM117" s="222"/>
      <c r="LSN117" s="222"/>
      <c r="LSO117" s="222"/>
      <c r="LSP117" s="222"/>
      <c r="LSQ117" s="222"/>
      <c r="LSR117" s="222"/>
      <c r="LSS117" s="222"/>
      <c r="LST117" s="222"/>
      <c r="LSU117" s="222"/>
      <c r="LSV117" s="222"/>
      <c r="LSW117" s="222"/>
      <c r="LSX117" s="222"/>
      <c r="LSY117" s="222"/>
      <c r="LSZ117" s="222"/>
      <c r="LTA117" s="222"/>
      <c r="LTB117" s="222"/>
      <c r="LTC117" s="222"/>
      <c r="LTD117" s="222"/>
      <c r="LTE117" s="222"/>
      <c r="LTF117" s="222"/>
      <c r="LTG117" s="222"/>
      <c r="LTH117" s="222"/>
      <c r="LTI117" s="222"/>
      <c r="LTJ117" s="222"/>
      <c r="LTK117" s="222"/>
      <c r="LTL117" s="222"/>
      <c r="LTM117" s="222"/>
      <c r="LTN117" s="222"/>
      <c r="LTO117" s="222"/>
      <c r="LTP117" s="222"/>
      <c r="LTQ117" s="222"/>
      <c r="LTR117" s="222"/>
      <c r="LTS117" s="222"/>
      <c r="LTT117" s="222"/>
      <c r="LTU117" s="222"/>
      <c r="LTV117" s="222"/>
      <c r="LTW117" s="222"/>
      <c r="LTX117" s="222"/>
      <c r="LTY117" s="222"/>
      <c r="LTZ117" s="222"/>
      <c r="LUA117" s="222"/>
      <c r="LUB117" s="222"/>
      <c r="LUC117" s="222"/>
      <c r="LUD117" s="222"/>
      <c r="LUE117" s="222"/>
      <c r="LUF117" s="222"/>
      <c r="LUG117" s="222"/>
      <c r="LUH117" s="222"/>
      <c r="LUI117" s="222"/>
      <c r="LUJ117" s="222"/>
      <c r="LUK117" s="222"/>
      <c r="LUL117" s="222"/>
      <c r="LUM117" s="222"/>
      <c r="LUN117" s="222"/>
      <c r="LUO117" s="222"/>
      <c r="LUP117" s="222"/>
      <c r="LUQ117" s="222"/>
      <c r="LUR117" s="222"/>
      <c r="LUS117" s="222"/>
      <c r="LUT117" s="222"/>
      <c r="LUU117" s="222"/>
      <c r="LUV117" s="222"/>
      <c r="LUW117" s="222"/>
      <c r="LUX117" s="222"/>
      <c r="LUY117" s="222"/>
      <c r="LUZ117" s="222"/>
      <c r="LVA117" s="222"/>
      <c r="LVB117" s="222"/>
      <c r="LVC117" s="222"/>
      <c r="LVD117" s="222"/>
      <c r="LVE117" s="222"/>
      <c r="LVF117" s="222"/>
      <c r="LVG117" s="222"/>
      <c r="LVH117" s="222"/>
      <c r="LVI117" s="222"/>
      <c r="LVJ117" s="222"/>
      <c r="LVK117" s="222"/>
      <c r="LVL117" s="222"/>
      <c r="LVM117" s="222"/>
      <c r="LVN117" s="222"/>
      <c r="LVO117" s="222"/>
      <c r="LVP117" s="222"/>
      <c r="LVQ117" s="222"/>
      <c r="LVR117" s="222"/>
      <c r="LVS117" s="222"/>
      <c r="LVT117" s="222"/>
      <c r="LVU117" s="222"/>
      <c r="LVV117" s="222"/>
      <c r="LVW117" s="222"/>
      <c r="LVX117" s="222"/>
      <c r="LVY117" s="222"/>
      <c r="LVZ117" s="222"/>
      <c r="LWA117" s="222"/>
      <c r="LWB117" s="222"/>
      <c r="LWC117" s="222"/>
      <c r="LWD117" s="222"/>
      <c r="LWE117" s="222"/>
      <c r="LWF117" s="222"/>
      <c r="LWG117" s="222"/>
      <c r="LWH117" s="222"/>
      <c r="LWI117" s="222"/>
      <c r="LWJ117" s="222"/>
      <c r="LWK117" s="222"/>
      <c r="LWL117" s="222"/>
      <c r="LWM117" s="222"/>
      <c r="LWN117" s="222"/>
      <c r="LWO117" s="222"/>
      <c r="LWP117" s="222"/>
      <c r="LWQ117" s="222"/>
      <c r="LWR117" s="222"/>
      <c r="LWS117" s="222"/>
      <c r="LWT117" s="222"/>
      <c r="LWU117" s="222"/>
      <c r="LWV117" s="222"/>
      <c r="LWW117" s="222"/>
      <c r="LWX117" s="222"/>
      <c r="LWY117" s="222"/>
      <c r="LWZ117" s="222"/>
      <c r="LXA117" s="222"/>
      <c r="LXB117" s="222"/>
      <c r="LXC117" s="222"/>
      <c r="LXD117" s="222"/>
      <c r="LXE117" s="222"/>
      <c r="LXF117" s="222"/>
      <c r="LXG117" s="222"/>
      <c r="LXH117" s="222"/>
      <c r="LXI117" s="222"/>
      <c r="LXJ117" s="222"/>
      <c r="LXK117" s="222"/>
      <c r="LXL117" s="222"/>
      <c r="LXM117" s="222"/>
      <c r="LXN117" s="222"/>
      <c r="LXO117" s="222"/>
      <c r="LXP117" s="222"/>
      <c r="LXQ117" s="222"/>
      <c r="LXR117" s="222"/>
      <c r="LXS117" s="222"/>
      <c r="LXT117" s="222"/>
      <c r="LXU117" s="222"/>
      <c r="LXV117" s="222"/>
      <c r="LXW117" s="222"/>
      <c r="LXX117" s="222"/>
      <c r="LXY117" s="222"/>
      <c r="LXZ117" s="222"/>
      <c r="LYA117" s="222"/>
      <c r="LYB117" s="222"/>
      <c r="LYC117" s="222"/>
      <c r="LYD117" s="222"/>
      <c r="LYE117" s="222"/>
      <c r="LYF117" s="222"/>
      <c r="LYG117" s="222"/>
      <c r="LYH117" s="222"/>
      <c r="LYI117" s="222"/>
      <c r="LYJ117" s="222"/>
      <c r="LYK117" s="222"/>
      <c r="LYL117" s="222"/>
      <c r="LYM117" s="222"/>
      <c r="LYN117" s="222"/>
      <c r="LYO117" s="222"/>
      <c r="LYP117" s="222"/>
      <c r="LYQ117" s="222"/>
      <c r="LYR117" s="222"/>
      <c r="LYS117" s="222"/>
      <c r="LYT117" s="222"/>
      <c r="LYU117" s="222"/>
      <c r="LYV117" s="222"/>
      <c r="LYW117" s="222"/>
      <c r="LYX117" s="222"/>
      <c r="LYY117" s="222"/>
      <c r="LYZ117" s="222"/>
      <c r="LZA117" s="222"/>
      <c r="LZB117" s="222"/>
      <c r="LZC117" s="222"/>
      <c r="LZD117" s="222"/>
      <c r="LZE117" s="222"/>
      <c r="LZF117" s="222"/>
      <c r="LZG117" s="222"/>
      <c r="LZH117" s="222"/>
      <c r="LZI117" s="222"/>
      <c r="LZJ117" s="222"/>
      <c r="LZK117" s="222"/>
      <c r="LZL117" s="222"/>
      <c r="LZM117" s="222"/>
      <c r="LZN117" s="222"/>
      <c r="LZO117" s="222"/>
      <c r="LZP117" s="222"/>
      <c r="LZQ117" s="222"/>
      <c r="LZR117" s="222"/>
      <c r="LZS117" s="222"/>
      <c r="LZT117" s="222"/>
      <c r="LZU117" s="222"/>
      <c r="LZV117" s="222"/>
      <c r="LZW117" s="222"/>
      <c r="LZX117" s="222"/>
      <c r="LZY117" s="222"/>
      <c r="LZZ117" s="222"/>
      <c r="MAA117" s="222"/>
      <c r="MAB117" s="222"/>
      <c r="MAC117" s="222"/>
      <c r="MAD117" s="222"/>
      <c r="MAE117" s="222"/>
      <c r="MAF117" s="222"/>
      <c r="MAG117" s="222"/>
      <c r="MAH117" s="222"/>
      <c r="MAI117" s="222"/>
      <c r="MAJ117" s="222"/>
      <c r="MAK117" s="222"/>
      <c r="MAL117" s="222"/>
      <c r="MAM117" s="222"/>
      <c r="MAN117" s="222"/>
      <c r="MAO117" s="222"/>
      <c r="MAP117" s="222"/>
      <c r="MAQ117" s="222"/>
      <c r="MAR117" s="222"/>
      <c r="MAS117" s="222"/>
      <c r="MAT117" s="222"/>
      <c r="MAU117" s="222"/>
      <c r="MAV117" s="222"/>
      <c r="MAW117" s="222"/>
      <c r="MAX117" s="222"/>
      <c r="MAY117" s="222"/>
      <c r="MAZ117" s="222"/>
      <c r="MBA117" s="222"/>
      <c r="MBB117" s="222"/>
      <c r="MBC117" s="222"/>
      <c r="MBD117" s="222"/>
      <c r="MBE117" s="222"/>
      <c r="MBF117" s="222"/>
      <c r="MBG117" s="222"/>
      <c r="MBH117" s="222"/>
      <c r="MBI117" s="222"/>
      <c r="MBJ117" s="222"/>
      <c r="MBK117" s="222"/>
      <c r="MBL117" s="222"/>
      <c r="MBM117" s="222"/>
      <c r="MBN117" s="222"/>
      <c r="MBO117" s="222"/>
      <c r="MBP117" s="222"/>
      <c r="MBQ117" s="222"/>
      <c r="MBR117" s="222"/>
      <c r="MBS117" s="222"/>
      <c r="MBT117" s="222"/>
      <c r="MBU117" s="222"/>
      <c r="MBV117" s="222"/>
      <c r="MBW117" s="222"/>
      <c r="MBX117" s="222"/>
      <c r="MBY117" s="222"/>
      <c r="MBZ117" s="222"/>
      <c r="MCA117" s="222"/>
      <c r="MCB117" s="222"/>
      <c r="MCC117" s="222"/>
      <c r="MCD117" s="222"/>
      <c r="MCE117" s="222"/>
      <c r="MCF117" s="222"/>
      <c r="MCG117" s="222"/>
      <c r="MCH117" s="222"/>
      <c r="MCI117" s="222"/>
      <c r="MCJ117" s="222"/>
      <c r="MCK117" s="222"/>
      <c r="MCL117" s="222"/>
      <c r="MCM117" s="222"/>
      <c r="MCN117" s="222"/>
      <c r="MCO117" s="222"/>
      <c r="MCP117" s="222"/>
      <c r="MCQ117" s="222"/>
      <c r="MCR117" s="222"/>
      <c r="MCS117" s="222"/>
      <c r="MCT117" s="222"/>
      <c r="MCU117" s="222"/>
      <c r="MCV117" s="222"/>
      <c r="MCW117" s="222"/>
      <c r="MCX117" s="222"/>
      <c r="MCY117" s="222"/>
      <c r="MCZ117" s="222"/>
      <c r="MDA117" s="222"/>
      <c r="MDB117" s="222"/>
      <c r="MDC117" s="222"/>
      <c r="MDD117" s="222"/>
      <c r="MDE117" s="222"/>
      <c r="MDF117" s="222"/>
      <c r="MDG117" s="222"/>
      <c r="MDH117" s="222"/>
      <c r="MDI117" s="222"/>
      <c r="MDJ117" s="222"/>
      <c r="MDK117" s="222"/>
      <c r="MDL117" s="222"/>
      <c r="MDM117" s="222"/>
      <c r="MDN117" s="222"/>
      <c r="MDO117" s="222"/>
      <c r="MDP117" s="222"/>
      <c r="MDQ117" s="222"/>
      <c r="MDR117" s="222"/>
      <c r="MDS117" s="222"/>
      <c r="MDT117" s="222"/>
      <c r="MDU117" s="222"/>
      <c r="MDV117" s="222"/>
      <c r="MDW117" s="222"/>
      <c r="MDX117" s="222"/>
      <c r="MDY117" s="222"/>
      <c r="MDZ117" s="222"/>
      <c r="MEA117" s="222"/>
      <c r="MEB117" s="222"/>
      <c r="MEC117" s="222"/>
      <c r="MED117" s="222"/>
      <c r="MEE117" s="222"/>
      <c r="MEF117" s="222"/>
      <c r="MEG117" s="222"/>
      <c r="MEH117" s="222"/>
      <c r="MEI117" s="222"/>
      <c r="MEJ117" s="222"/>
      <c r="MEK117" s="222"/>
      <c r="MEL117" s="222"/>
      <c r="MEM117" s="222"/>
      <c r="MEN117" s="222"/>
      <c r="MEO117" s="222"/>
      <c r="MEP117" s="222"/>
      <c r="MEQ117" s="222"/>
      <c r="MER117" s="222"/>
      <c r="MES117" s="222"/>
      <c r="MET117" s="222"/>
      <c r="MEU117" s="222"/>
      <c r="MEV117" s="222"/>
      <c r="MEW117" s="222"/>
      <c r="MEX117" s="222"/>
      <c r="MEY117" s="222"/>
      <c r="MEZ117" s="222"/>
      <c r="MFA117" s="222"/>
      <c r="MFB117" s="222"/>
      <c r="MFC117" s="222"/>
      <c r="MFD117" s="222"/>
      <c r="MFE117" s="222"/>
      <c r="MFF117" s="222"/>
      <c r="MFG117" s="222"/>
      <c r="MFH117" s="222"/>
      <c r="MFI117" s="222"/>
      <c r="MFJ117" s="222"/>
      <c r="MFK117" s="222"/>
      <c r="MFL117" s="222"/>
      <c r="MFM117" s="222"/>
      <c r="MFN117" s="222"/>
      <c r="MFO117" s="222"/>
      <c r="MFP117" s="222"/>
      <c r="MFQ117" s="222"/>
      <c r="MFR117" s="222"/>
      <c r="MFS117" s="222"/>
      <c r="MFT117" s="222"/>
      <c r="MFU117" s="222"/>
      <c r="MFV117" s="222"/>
      <c r="MFW117" s="222"/>
      <c r="MFX117" s="222"/>
      <c r="MFY117" s="222"/>
      <c r="MFZ117" s="222"/>
      <c r="MGA117" s="222"/>
      <c r="MGB117" s="222"/>
      <c r="MGC117" s="222"/>
      <c r="MGD117" s="222"/>
      <c r="MGE117" s="222"/>
      <c r="MGF117" s="222"/>
      <c r="MGG117" s="222"/>
      <c r="MGH117" s="222"/>
      <c r="MGI117" s="222"/>
      <c r="MGJ117" s="222"/>
      <c r="MGK117" s="222"/>
      <c r="MGL117" s="222"/>
      <c r="MGM117" s="222"/>
      <c r="MGN117" s="222"/>
      <c r="MGO117" s="222"/>
      <c r="MGP117" s="222"/>
      <c r="MGQ117" s="222"/>
      <c r="MGR117" s="222"/>
      <c r="MGS117" s="222"/>
      <c r="MGT117" s="222"/>
      <c r="MGU117" s="222"/>
      <c r="MGV117" s="222"/>
      <c r="MGW117" s="222"/>
      <c r="MGX117" s="222"/>
      <c r="MGY117" s="222"/>
      <c r="MGZ117" s="222"/>
      <c r="MHA117" s="222"/>
      <c r="MHB117" s="222"/>
      <c r="MHC117" s="222"/>
      <c r="MHD117" s="222"/>
      <c r="MHE117" s="222"/>
      <c r="MHF117" s="222"/>
      <c r="MHG117" s="222"/>
      <c r="MHH117" s="222"/>
      <c r="MHI117" s="222"/>
      <c r="MHJ117" s="222"/>
      <c r="MHK117" s="222"/>
      <c r="MHL117" s="222"/>
      <c r="MHM117" s="222"/>
      <c r="MHN117" s="222"/>
      <c r="MHO117" s="222"/>
      <c r="MHP117" s="222"/>
      <c r="MHQ117" s="222"/>
      <c r="MHR117" s="222"/>
      <c r="MHS117" s="222"/>
      <c r="MHT117" s="222"/>
      <c r="MHU117" s="222"/>
      <c r="MHV117" s="222"/>
      <c r="MHW117" s="222"/>
      <c r="MHX117" s="222"/>
      <c r="MHY117" s="222"/>
      <c r="MHZ117" s="222"/>
      <c r="MIA117" s="222"/>
      <c r="MIB117" s="222"/>
      <c r="MIC117" s="222"/>
      <c r="MID117" s="222"/>
      <c r="MIE117" s="222"/>
      <c r="MIF117" s="222"/>
      <c r="MIG117" s="222"/>
      <c r="MIH117" s="222"/>
      <c r="MII117" s="222"/>
      <c r="MIJ117" s="222"/>
      <c r="MIK117" s="222"/>
      <c r="MIL117" s="222"/>
      <c r="MIM117" s="222"/>
      <c r="MIN117" s="222"/>
      <c r="MIO117" s="222"/>
      <c r="MIP117" s="222"/>
      <c r="MIQ117" s="222"/>
      <c r="MIR117" s="222"/>
      <c r="MIS117" s="222"/>
      <c r="MIT117" s="222"/>
      <c r="MIU117" s="222"/>
      <c r="MIV117" s="222"/>
      <c r="MIW117" s="222"/>
      <c r="MIX117" s="222"/>
      <c r="MIY117" s="222"/>
      <c r="MIZ117" s="222"/>
      <c r="MJA117" s="222"/>
      <c r="MJB117" s="222"/>
      <c r="MJC117" s="222"/>
      <c r="MJD117" s="222"/>
      <c r="MJE117" s="222"/>
      <c r="MJF117" s="222"/>
      <c r="MJG117" s="222"/>
      <c r="MJH117" s="222"/>
      <c r="MJI117" s="222"/>
      <c r="MJJ117" s="222"/>
      <c r="MJK117" s="222"/>
      <c r="MJL117" s="222"/>
      <c r="MJM117" s="222"/>
      <c r="MJN117" s="222"/>
      <c r="MJO117" s="222"/>
      <c r="MJP117" s="222"/>
      <c r="MJQ117" s="222"/>
      <c r="MJR117" s="222"/>
      <c r="MJS117" s="222"/>
      <c r="MJT117" s="222"/>
      <c r="MJU117" s="222"/>
      <c r="MJV117" s="222"/>
      <c r="MJW117" s="222"/>
      <c r="MJX117" s="222"/>
      <c r="MJY117" s="222"/>
      <c r="MJZ117" s="222"/>
      <c r="MKA117" s="222"/>
      <c r="MKB117" s="222"/>
      <c r="MKC117" s="222"/>
      <c r="MKD117" s="222"/>
      <c r="MKE117" s="222"/>
      <c r="MKF117" s="222"/>
      <c r="MKG117" s="222"/>
      <c r="MKH117" s="222"/>
      <c r="MKI117" s="222"/>
      <c r="MKJ117" s="222"/>
      <c r="MKK117" s="222"/>
      <c r="MKL117" s="222"/>
      <c r="MKM117" s="222"/>
      <c r="MKN117" s="222"/>
      <c r="MKO117" s="222"/>
      <c r="MKP117" s="222"/>
      <c r="MKQ117" s="222"/>
      <c r="MKR117" s="222"/>
      <c r="MKS117" s="222"/>
      <c r="MKT117" s="222"/>
      <c r="MKU117" s="222"/>
      <c r="MKV117" s="222"/>
      <c r="MKW117" s="222"/>
      <c r="MKX117" s="222"/>
      <c r="MKY117" s="222"/>
      <c r="MKZ117" s="222"/>
      <c r="MLA117" s="222"/>
      <c r="MLB117" s="222"/>
      <c r="MLC117" s="222"/>
      <c r="MLD117" s="222"/>
      <c r="MLE117" s="222"/>
      <c r="MLF117" s="222"/>
      <c r="MLG117" s="222"/>
      <c r="MLH117" s="222"/>
      <c r="MLI117" s="222"/>
      <c r="MLJ117" s="222"/>
      <c r="MLK117" s="222"/>
      <c r="MLL117" s="222"/>
      <c r="MLM117" s="222"/>
      <c r="MLN117" s="222"/>
      <c r="MLO117" s="222"/>
      <c r="MLP117" s="222"/>
      <c r="MLQ117" s="222"/>
      <c r="MLR117" s="222"/>
      <c r="MLS117" s="222"/>
      <c r="MLT117" s="222"/>
      <c r="MLU117" s="222"/>
      <c r="MLV117" s="222"/>
      <c r="MLW117" s="222"/>
      <c r="MLX117" s="222"/>
      <c r="MLY117" s="222"/>
      <c r="MLZ117" s="222"/>
      <c r="MMA117" s="222"/>
      <c r="MMB117" s="222"/>
      <c r="MMC117" s="222"/>
      <c r="MMD117" s="222"/>
      <c r="MME117" s="222"/>
      <c r="MMF117" s="222"/>
      <c r="MMG117" s="222"/>
      <c r="MMH117" s="222"/>
      <c r="MMI117" s="222"/>
      <c r="MMJ117" s="222"/>
      <c r="MMK117" s="222"/>
      <c r="MML117" s="222"/>
      <c r="MMM117" s="222"/>
      <c r="MMN117" s="222"/>
      <c r="MMO117" s="222"/>
      <c r="MMP117" s="222"/>
      <c r="MMQ117" s="222"/>
      <c r="MMR117" s="222"/>
      <c r="MMS117" s="222"/>
      <c r="MMT117" s="222"/>
      <c r="MMU117" s="222"/>
      <c r="MMV117" s="222"/>
      <c r="MMW117" s="222"/>
      <c r="MMX117" s="222"/>
      <c r="MMY117" s="222"/>
      <c r="MMZ117" s="222"/>
      <c r="MNA117" s="222"/>
      <c r="MNB117" s="222"/>
      <c r="MNC117" s="222"/>
      <c r="MND117" s="222"/>
      <c r="MNE117" s="222"/>
      <c r="MNF117" s="222"/>
      <c r="MNG117" s="222"/>
      <c r="MNH117" s="222"/>
      <c r="MNI117" s="222"/>
      <c r="MNJ117" s="222"/>
      <c r="MNK117" s="222"/>
      <c r="MNL117" s="222"/>
      <c r="MNM117" s="222"/>
      <c r="MNN117" s="222"/>
      <c r="MNO117" s="222"/>
      <c r="MNP117" s="222"/>
      <c r="MNQ117" s="222"/>
      <c r="MNR117" s="222"/>
      <c r="MNS117" s="222"/>
      <c r="MNT117" s="222"/>
      <c r="MNU117" s="222"/>
      <c r="MNV117" s="222"/>
      <c r="MNW117" s="222"/>
      <c r="MNX117" s="222"/>
      <c r="MNY117" s="222"/>
      <c r="MNZ117" s="222"/>
      <c r="MOA117" s="222"/>
      <c r="MOB117" s="222"/>
      <c r="MOC117" s="222"/>
      <c r="MOD117" s="222"/>
      <c r="MOE117" s="222"/>
      <c r="MOF117" s="222"/>
      <c r="MOG117" s="222"/>
      <c r="MOH117" s="222"/>
      <c r="MOI117" s="222"/>
      <c r="MOJ117" s="222"/>
      <c r="MOK117" s="222"/>
      <c r="MOL117" s="222"/>
      <c r="MOM117" s="222"/>
      <c r="MON117" s="222"/>
      <c r="MOO117" s="222"/>
      <c r="MOP117" s="222"/>
      <c r="MOQ117" s="222"/>
      <c r="MOR117" s="222"/>
      <c r="MOS117" s="222"/>
      <c r="MOT117" s="222"/>
      <c r="MOU117" s="222"/>
      <c r="MOV117" s="222"/>
      <c r="MOW117" s="222"/>
      <c r="MOX117" s="222"/>
      <c r="MOY117" s="222"/>
      <c r="MOZ117" s="222"/>
      <c r="MPA117" s="222"/>
      <c r="MPB117" s="222"/>
      <c r="MPC117" s="222"/>
      <c r="MPD117" s="222"/>
      <c r="MPE117" s="222"/>
      <c r="MPF117" s="222"/>
      <c r="MPG117" s="222"/>
      <c r="MPH117" s="222"/>
      <c r="MPI117" s="222"/>
      <c r="MPJ117" s="222"/>
      <c r="MPK117" s="222"/>
      <c r="MPL117" s="222"/>
      <c r="MPM117" s="222"/>
      <c r="MPN117" s="222"/>
      <c r="MPO117" s="222"/>
      <c r="MPP117" s="222"/>
      <c r="MPQ117" s="222"/>
      <c r="MPR117" s="222"/>
      <c r="MPS117" s="222"/>
      <c r="MPT117" s="222"/>
      <c r="MPU117" s="222"/>
      <c r="MPV117" s="222"/>
      <c r="MPW117" s="222"/>
      <c r="MPX117" s="222"/>
      <c r="MPY117" s="222"/>
      <c r="MPZ117" s="222"/>
      <c r="MQA117" s="222"/>
      <c r="MQB117" s="222"/>
      <c r="MQC117" s="222"/>
      <c r="MQD117" s="222"/>
      <c r="MQE117" s="222"/>
      <c r="MQF117" s="222"/>
      <c r="MQG117" s="222"/>
      <c r="MQH117" s="222"/>
      <c r="MQI117" s="222"/>
      <c r="MQJ117" s="222"/>
      <c r="MQK117" s="222"/>
      <c r="MQL117" s="222"/>
      <c r="MQM117" s="222"/>
      <c r="MQN117" s="222"/>
      <c r="MQO117" s="222"/>
      <c r="MQP117" s="222"/>
      <c r="MQQ117" s="222"/>
      <c r="MQR117" s="222"/>
      <c r="MQS117" s="222"/>
      <c r="MQT117" s="222"/>
      <c r="MQU117" s="222"/>
      <c r="MQV117" s="222"/>
      <c r="MQW117" s="222"/>
      <c r="MQX117" s="222"/>
      <c r="MQY117" s="222"/>
      <c r="MQZ117" s="222"/>
      <c r="MRA117" s="222"/>
      <c r="MRB117" s="222"/>
      <c r="MRC117" s="222"/>
      <c r="MRD117" s="222"/>
      <c r="MRE117" s="222"/>
      <c r="MRF117" s="222"/>
      <c r="MRG117" s="222"/>
      <c r="MRH117" s="222"/>
      <c r="MRI117" s="222"/>
      <c r="MRJ117" s="222"/>
      <c r="MRK117" s="222"/>
      <c r="MRL117" s="222"/>
      <c r="MRM117" s="222"/>
      <c r="MRN117" s="222"/>
      <c r="MRO117" s="222"/>
      <c r="MRP117" s="222"/>
      <c r="MRQ117" s="222"/>
      <c r="MRR117" s="222"/>
      <c r="MRS117" s="222"/>
      <c r="MRT117" s="222"/>
      <c r="MRU117" s="222"/>
      <c r="MRV117" s="222"/>
      <c r="MRW117" s="222"/>
      <c r="MRX117" s="222"/>
      <c r="MRY117" s="222"/>
      <c r="MRZ117" s="222"/>
      <c r="MSA117" s="222"/>
      <c r="MSB117" s="222"/>
      <c r="MSC117" s="222"/>
      <c r="MSD117" s="222"/>
      <c r="MSE117" s="222"/>
      <c r="MSF117" s="222"/>
      <c r="MSG117" s="222"/>
      <c r="MSH117" s="222"/>
      <c r="MSI117" s="222"/>
      <c r="MSJ117" s="222"/>
      <c r="MSK117" s="222"/>
      <c r="MSL117" s="222"/>
      <c r="MSM117" s="222"/>
      <c r="MSN117" s="222"/>
      <c r="MSO117" s="222"/>
      <c r="MSP117" s="222"/>
      <c r="MSQ117" s="222"/>
      <c r="MSR117" s="222"/>
      <c r="MSS117" s="222"/>
      <c r="MST117" s="222"/>
      <c r="MSU117" s="222"/>
      <c r="MSV117" s="222"/>
      <c r="MSW117" s="222"/>
      <c r="MSX117" s="222"/>
      <c r="MSY117" s="222"/>
      <c r="MSZ117" s="222"/>
      <c r="MTA117" s="222"/>
      <c r="MTB117" s="222"/>
      <c r="MTC117" s="222"/>
      <c r="MTD117" s="222"/>
      <c r="MTE117" s="222"/>
      <c r="MTF117" s="222"/>
      <c r="MTG117" s="222"/>
      <c r="MTH117" s="222"/>
      <c r="MTI117" s="222"/>
      <c r="MTJ117" s="222"/>
      <c r="MTK117" s="222"/>
      <c r="MTL117" s="222"/>
      <c r="MTM117" s="222"/>
      <c r="MTN117" s="222"/>
      <c r="MTO117" s="222"/>
      <c r="MTP117" s="222"/>
      <c r="MTQ117" s="222"/>
      <c r="MTR117" s="222"/>
      <c r="MTS117" s="222"/>
      <c r="MTT117" s="222"/>
      <c r="MTU117" s="222"/>
      <c r="MTV117" s="222"/>
      <c r="MTW117" s="222"/>
      <c r="MTX117" s="222"/>
      <c r="MTY117" s="222"/>
      <c r="MTZ117" s="222"/>
      <c r="MUA117" s="222"/>
      <c r="MUB117" s="222"/>
      <c r="MUC117" s="222"/>
      <c r="MUD117" s="222"/>
      <c r="MUE117" s="222"/>
      <c r="MUF117" s="222"/>
      <c r="MUG117" s="222"/>
      <c r="MUH117" s="222"/>
      <c r="MUI117" s="222"/>
      <c r="MUJ117" s="222"/>
      <c r="MUK117" s="222"/>
      <c r="MUL117" s="222"/>
      <c r="MUM117" s="222"/>
      <c r="MUN117" s="222"/>
      <c r="MUO117" s="222"/>
      <c r="MUP117" s="222"/>
      <c r="MUQ117" s="222"/>
      <c r="MUR117" s="222"/>
      <c r="MUS117" s="222"/>
      <c r="MUT117" s="222"/>
      <c r="MUU117" s="222"/>
      <c r="MUV117" s="222"/>
      <c r="MUW117" s="222"/>
      <c r="MUX117" s="222"/>
      <c r="MUY117" s="222"/>
      <c r="MUZ117" s="222"/>
      <c r="MVA117" s="222"/>
      <c r="MVB117" s="222"/>
      <c r="MVC117" s="222"/>
      <c r="MVD117" s="222"/>
      <c r="MVE117" s="222"/>
      <c r="MVF117" s="222"/>
      <c r="MVG117" s="222"/>
      <c r="MVH117" s="222"/>
      <c r="MVI117" s="222"/>
      <c r="MVJ117" s="222"/>
      <c r="MVK117" s="222"/>
      <c r="MVL117" s="222"/>
      <c r="MVM117" s="222"/>
      <c r="MVN117" s="222"/>
      <c r="MVO117" s="222"/>
      <c r="MVP117" s="222"/>
      <c r="MVQ117" s="222"/>
      <c r="MVR117" s="222"/>
      <c r="MVS117" s="222"/>
      <c r="MVT117" s="222"/>
      <c r="MVU117" s="222"/>
      <c r="MVV117" s="222"/>
      <c r="MVW117" s="222"/>
      <c r="MVX117" s="222"/>
      <c r="MVY117" s="222"/>
      <c r="MVZ117" s="222"/>
      <c r="MWA117" s="222"/>
      <c r="MWB117" s="222"/>
      <c r="MWC117" s="222"/>
      <c r="MWD117" s="222"/>
      <c r="MWE117" s="222"/>
      <c r="MWF117" s="222"/>
      <c r="MWG117" s="222"/>
      <c r="MWH117" s="222"/>
      <c r="MWI117" s="222"/>
      <c r="MWJ117" s="222"/>
      <c r="MWK117" s="222"/>
      <c r="MWL117" s="222"/>
      <c r="MWM117" s="222"/>
      <c r="MWN117" s="222"/>
      <c r="MWO117" s="222"/>
      <c r="MWP117" s="222"/>
      <c r="MWQ117" s="222"/>
      <c r="MWR117" s="222"/>
      <c r="MWS117" s="222"/>
      <c r="MWT117" s="222"/>
      <c r="MWU117" s="222"/>
      <c r="MWV117" s="222"/>
      <c r="MWW117" s="222"/>
      <c r="MWX117" s="222"/>
      <c r="MWY117" s="222"/>
      <c r="MWZ117" s="222"/>
      <c r="MXA117" s="222"/>
      <c r="MXB117" s="222"/>
      <c r="MXC117" s="222"/>
      <c r="MXD117" s="222"/>
      <c r="MXE117" s="222"/>
      <c r="MXF117" s="222"/>
      <c r="MXG117" s="222"/>
      <c r="MXH117" s="222"/>
      <c r="MXI117" s="222"/>
      <c r="MXJ117" s="222"/>
      <c r="MXK117" s="222"/>
      <c r="MXL117" s="222"/>
      <c r="MXM117" s="222"/>
      <c r="MXN117" s="222"/>
      <c r="MXO117" s="222"/>
      <c r="MXP117" s="222"/>
      <c r="MXQ117" s="222"/>
      <c r="MXR117" s="222"/>
      <c r="MXS117" s="222"/>
      <c r="MXT117" s="222"/>
      <c r="MXU117" s="222"/>
      <c r="MXV117" s="222"/>
      <c r="MXW117" s="222"/>
      <c r="MXX117" s="222"/>
      <c r="MXY117" s="222"/>
      <c r="MXZ117" s="222"/>
      <c r="MYA117" s="222"/>
      <c r="MYB117" s="222"/>
      <c r="MYC117" s="222"/>
      <c r="MYD117" s="222"/>
      <c r="MYE117" s="222"/>
      <c r="MYF117" s="222"/>
      <c r="MYG117" s="222"/>
      <c r="MYH117" s="222"/>
      <c r="MYI117" s="222"/>
      <c r="MYJ117" s="222"/>
      <c r="MYK117" s="222"/>
      <c r="MYL117" s="222"/>
      <c r="MYM117" s="222"/>
      <c r="MYN117" s="222"/>
      <c r="MYO117" s="222"/>
      <c r="MYP117" s="222"/>
      <c r="MYQ117" s="222"/>
      <c r="MYR117" s="222"/>
      <c r="MYS117" s="222"/>
      <c r="MYT117" s="222"/>
      <c r="MYU117" s="222"/>
      <c r="MYV117" s="222"/>
      <c r="MYW117" s="222"/>
      <c r="MYX117" s="222"/>
      <c r="MYY117" s="222"/>
      <c r="MYZ117" s="222"/>
      <c r="MZA117" s="222"/>
      <c r="MZB117" s="222"/>
      <c r="MZC117" s="222"/>
      <c r="MZD117" s="222"/>
      <c r="MZE117" s="222"/>
      <c r="MZF117" s="222"/>
      <c r="MZG117" s="222"/>
      <c r="MZH117" s="222"/>
      <c r="MZI117" s="222"/>
      <c r="MZJ117" s="222"/>
      <c r="MZK117" s="222"/>
      <c r="MZL117" s="222"/>
      <c r="MZM117" s="222"/>
      <c r="MZN117" s="222"/>
      <c r="MZO117" s="222"/>
      <c r="MZP117" s="222"/>
      <c r="MZQ117" s="222"/>
      <c r="MZR117" s="222"/>
      <c r="MZS117" s="222"/>
      <c r="MZT117" s="222"/>
      <c r="MZU117" s="222"/>
      <c r="MZV117" s="222"/>
      <c r="MZW117" s="222"/>
      <c r="MZX117" s="222"/>
      <c r="MZY117" s="222"/>
      <c r="MZZ117" s="222"/>
      <c r="NAA117" s="222"/>
      <c r="NAB117" s="222"/>
      <c r="NAC117" s="222"/>
      <c r="NAD117" s="222"/>
      <c r="NAE117" s="222"/>
      <c r="NAF117" s="222"/>
      <c r="NAG117" s="222"/>
      <c r="NAH117" s="222"/>
      <c r="NAI117" s="222"/>
      <c r="NAJ117" s="222"/>
      <c r="NAK117" s="222"/>
      <c r="NAL117" s="222"/>
      <c r="NAM117" s="222"/>
      <c r="NAN117" s="222"/>
      <c r="NAO117" s="222"/>
      <c r="NAP117" s="222"/>
      <c r="NAQ117" s="222"/>
      <c r="NAR117" s="222"/>
      <c r="NAS117" s="222"/>
      <c r="NAT117" s="222"/>
      <c r="NAU117" s="222"/>
      <c r="NAV117" s="222"/>
      <c r="NAW117" s="222"/>
      <c r="NAX117" s="222"/>
      <c r="NAY117" s="222"/>
      <c r="NAZ117" s="222"/>
      <c r="NBA117" s="222"/>
      <c r="NBB117" s="222"/>
      <c r="NBC117" s="222"/>
      <c r="NBD117" s="222"/>
      <c r="NBE117" s="222"/>
      <c r="NBF117" s="222"/>
      <c r="NBG117" s="222"/>
      <c r="NBH117" s="222"/>
      <c r="NBI117" s="222"/>
      <c r="NBJ117" s="222"/>
      <c r="NBK117" s="222"/>
      <c r="NBL117" s="222"/>
      <c r="NBM117" s="222"/>
      <c r="NBN117" s="222"/>
      <c r="NBO117" s="222"/>
      <c r="NBP117" s="222"/>
      <c r="NBQ117" s="222"/>
      <c r="NBR117" s="222"/>
      <c r="NBS117" s="222"/>
      <c r="NBT117" s="222"/>
      <c r="NBU117" s="222"/>
      <c r="NBV117" s="222"/>
      <c r="NBW117" s="222"/>
      <c r="NBX117" s="222"/>
      <c r="NBY117" s="222"/>
      <c r="NBZ117" s="222"/>
      <c r="NCA117" s="222"/>
      <c r="NCB117" s="222"/>
      <c r="NCC117" s="222"/>
      <c r="NCD117" s="222"/>
      <c r="NCE117" s="222"/>
      <c r="NCF117" s="222"/>
      <c r="NCG117" s="222"/>
      <c r="NCH117" s="222"/>
      <c r="NCI117" s="222"/>
      <c r="NCJ117" s="222"/>
      <c r="NCK117" s="222"/>
      <c r="NCL117" s="222"/>
      <c r="NCM117" s="222"/>
      <c r="NCN117" s="222"/>
      <c r="NCO117" s="222"/>
      <c r="NCP117" s="222"/>
      <c r="NCQ117" s="222"/>
      <c r="NCR117" s="222"/>
      <c r="NCS117" s="222"/>
      <c r="NCT117" s="222"/>
      <c r="NCU117" s="222"/>
      <c r="NCV117" s="222"/>
      <c r="NCW117" s="222"/>
      <c r="NCX117" s="222"/>
      <c r="NCY117" s="222"/>
      <c r="NCZ117" s="222"/>
      <c r="NDA117" s="222"/>
      <c r="NDB117" s="222"/>
      <c r="NDC117" s="222"/>
      <c r="NDD117" s="222"/>
      <c r="NDE117" s="222"/>
      <c r="NDF117" s="222"/>
      <c r="NDG117" s="222"/>
      <c r="NDH117" s="222"/>
      <c r="NDI117" s="222"/>
      <c r="NDJ117" s="222"/>
      <c r="NDK117" s="222"/>
      <c r="NDL117" s="222"/>
      <c r="NDM117" s="222"/>
      <c r="NDN117" s="222"/>
      <c r="NDO117" s="222"/>
      <c r="NDP117" s="222"/>
      <c r="NDQ117" s="222"/>
      <c r="NDR117" s="222"/>
      <c r="NDS117" s="222"/>
      <c r="NDT117" s="222"/>
      <c r="NDU117" s="222"/>
      <c r="NDV117" s="222"/>
      <c r="NDW117" s="222"/>
      <c r="NDX117" s="222"/>
      <c r="NDY117" s="222"/>
      <c r="NDZ117" s="222"/>
      <c r="NEA117" s="222"/>
      <c r="NEB117" s="222"/>
      <c r="NEC117" s="222"/>
      <c r="NED117" s="222"/>
      <c r="NEE117" s="222"/>
      <c r="NEF117" s="222"/>
      <c r="NEG117" s="222"/>
      <c r="NEH117" s="222"/>
      <c r="NEI117" s="222"/>
      <c r="NEJ117" s="222"/>
      <c r="NEK117" s="222"/>
      <c r="NEL117" s="222"/>
      <c r="NEM117" s="222"/>
      <c r="NEN117" s="222"/>
      <c r="NEO117" s="222"/>
      <c r="NEP117" s="222"/>
      <c r="NEQ117" s="222"/>
      <c r="NER117" s="222"/>
      <c r="NES117" s="222"/>
      <c r="NET117" s="222"/>
      <c r="NEU117" s="222"/>
      <c r="NEV117" s="222"/>
      <c r="NEW117" s="222"/>
      <c r="NEX117" s="222"/>
      <c r="NEY117" s="222"/>
      <c r="NEZ117" s="222"/>
      <c r="NFA117" s="222"/>
      <c r="NFB117" s="222"/>
      <c r="NFC117" s="222"/>
      <c r="NFD117" s="222"/>
      <c r="NFE117" s="222"/>
      <c r="NFF117" s="222"/>
      <c r="NFG117" s="222"/>
      <c r="NFH117" s="222"/>
      <c r="NFI117" s="222"/>
      <c r="NFJ117" s="222"/>
      <c r="NFK117" s="222"/>
      <c r="NFL117" s="222"/>
      <c r="NFM117" s="222"/>
      <c r="NFN117" s="222"/>
      <c r="NFO117" s="222"/>
      <c r="NFP117" s="222"/>
      <c r="NFQ117" s="222"/>
      <c r="NFR117" s="222"/>
      <c r="NFS117" s="222"/>
      <c r="NFT117" s="222"/>
      <c r="NFU117" s="222"/>
      <c r="NFV117" s="222"/>
      <c r="NFW117" s="222"/>
      <c r="NFX117" s="222"/>
      <c r="NFY117" s="222"/>
      <c r="NFZ117" s="222"/>
      <c r="NGA117" s="222"/>
      <c r="NGB117" s="222"/>
      <c r="NGC117" s="222"/>
      <c r="NGD117" s="222"/>
      <c r="NGE117" s="222"/>
      <c r="NGF117" s="222"/>
      <c r="NGG117" s="222"/>
      <c r="NGH117" s="222"/>
      <c r="NGI117" s="222"/>
      <c r="NGJ117" s="222"/>
      <c r="NGK117" s="222"/>
      <c r="NGL117" s="222"/>
      <c r="NGM117" s="222"/>
      <c r="NGN117" s="222"/>
      <c r="NGO117" s="222"/>
      <c r="NGP117" s="222"/>
      <c r="NGQ117" s="222"/>
      <c r="NGR117" s="222"/>
      <c r="NGS117" s="222"/>
      <c r="NGT117" s="222"/>
      <c r="NGU117" s="222"/>
      <c r="NGV117" s="222"/>
      <c r="NGW117" s="222"/>
      <c r="NGX117" s="222"/>
      <c r="NGY117" s="222"/>
      <c r="NGZ117" s="222"/>
      <c r="NHA117" s="222"/>
      <c r="NHB117" s="222"/>
      <c r="NHC117" s="222"/>
      <c r="NHD117" s="222"/>
      <c r="NHE117" s="222"/>
      <c r="NHF117" s="222"/>
      <c r="NHG117" s="222"/>
      <c r="NHH117" s="222"/>
      <c r="NHI117" s="222"/>
      <c r="NHJ117" s="222"/>
      <c r="NHK117" s="222"/>
      <c r="NHL117" s="222"/>
      <c r="NHM117" s="222"/>
      <c r="NHN117" s="222"/>
      <c r="NHO117" s="222"/>
      <c r="NHP117" s="222"/>
      <c r="NHQ117" s="222"/>
      <c r="NHR117" s="222"/>
      <c r="NHS117" s="222"/>
      <c r="NHT117" s="222"/>
      <c r="NHU117" s="222"/>
      <c r="NHV117" s="222"/>
      <c r="NHW117" s="222"/>
      <c r="NHX117" s="222"/>
      <c r="NHY117" s="222"/>
      <c r="NHZ117" s="222"/>
      <c r="NIA117" s="222"/>
      <c r="NIB117" s="222"/>
      <c r="NIC117" s="222"/>
      <c r="NID117" s="222"/>
      <c r="NIE117" s="222"/>
      <c r="NIF117" s="222"/>
      <c r="NIG117" s="222"/>
      <c r="NIH117" s="222"/>
      <c r="NII117" s="222"/>
      <c r="NIJ117" s="222"/>
      <c r="NIK117" s="222"/>
      <c r="NIL117" s="222"/>
      <c r="NIM117" s="222"/>
      <c r="NIN117" s="222"/>
      <c r="NIO117" s="222"/>
      <c r="NIP117" s="222"/>
      <c r="NIQ117" s="222"/>
      <c r="NIR117" s="222"/>
      <c r="NIS117" s="222"/>
      <c r="NIT117" s="222"/>
      <c r="NIU117" s="222"/>
      <c r="NIV117" s="222"/>
      <c r="NIW117" s="222"/>
      <c r="NIX117" s="222"/>
      <c r="NIY117" s="222"/>
      <c r="NIZ117" s="222"/>
      <c r="NJA117" s="222"/>
      <c r="NJB117" s="222"/>
      <c r="NJC117" s="222"/>
      <c r="NJD117" s="222"/>
      <c r="NJE117" s="222"/>
      <c r="NJF117" s="222"/>
      <c r="NJG117" s="222"/>
      <c r="NJH117" s="222"/>
      <c r="NJI117" s="222"/>
      <c r="NJJ117" s="222"/>
      <c r="NJK117" s="222"/>
      <c r="NJL117" s="222"/>
      <c r="NJM117" s="222"/>
      <c r="NJN117" s="222"/>
      <c r="NJO117" s="222"/>
      <c r="NJP117" s="222"/>
      <c r="NJQ117" s="222"/>
      <c r="NJR117" s="222"/>
      <c r="NJS117" s="222"/>
      <c r="NJT117" s="222"/>
      <c r="NJU117" s="222"/>
      <c r="NJV117" s="222"/>
      <c r="NJW117" s="222"/>
      <c r="NJX117" s="222"/>
      <c r="NJY117" s="222"/>
      <c r="NJZ117" s="222"/>
      <c r="NKA117" s="222"/>
      <c r="NKB117" s="222"/>
      <c r="NKC117" s="222"/>
      <c r="NKD117" s="222"/>
      <c r="NKE117" s="222"/>
      <c r="NKF117" s="222"/>
      <c r="NKG117" s="222"/>
      <c r="NKH117" s="222"/>
      <c r="NKI117" s="222"/>
      <c r="NKJ117" s="222"/>
      <c r="NKK117" s="222"/>
      <c r="NKL117" s="222"/>
      <c r="NKM117" s="222"/>
      <c r="NKN117" s="222"/>
      <c r="NKO117" s="222"/>
      <c r="NKP117" s="222"/>
      <c r="NKQ117" s="222"/>
      <c r="NKR117" s="222"/>
      <c r="NKS117" s="222"/>
      <c r="NKT117" s="222"/>
      <c r="NKU117" s="222"/>
      <c r="NKV117" s="222"/>
      <c r="NKW117" s="222"/>
      <c r="NKX117" s="222"/>
      <c r="NKY117" s="222"/>
      <c r="NKZ117" s="222"/>
      <c r="NLA117" s="222"/>
      <c r="NLB117" s="222"/>
      <c r="NLC117" s="222"/>
      <c r="NLD117" s="222"/>
      <c r="NLE117" s="222"/>
      <c r="NLF117" s="222"/>
      <c r="NLG117" s="222"/>
      <c r="NLH117" s="222"/>
      <c r="NLI117" s="222"/>
      <c r="NLJ117" s="222"/>
      <c r="NLK117" s="222"/>
      <c r="NLL117" s="222"/>
      <c r="NLM117" s="222"/>
      <c r="NLN117" s="222"/>
      <c r="NLO117" s="222"/>
      <c r="NLP117" s="222"/>
      <c r="NLQ117" s="222"/>
      <c r="NLR117" s="222"/>
      <c r="NLS117" s="222"/>
      <c r="NLT117" s="222"/>
      <c r="NLU117" s="222"/>
      <c r="NLV117" s="222"/>
      <c r="NLW117" s="222"/>
      <c r="NLX117" s="222"/>
      <c r="NLY117" s="222"/>
      <c r="NLZ117" s="222"/>
      <c r="NMA117" s="222"/>
      <c r="NMB117" s="222"/>
      <c r="NMC117" s="222"/>
      <c r="NMD117" s="222"/>
      <c r="NME117" s="222"/>
      <c r="NMF117" s="222"/>
      <c r="NMG117" s="222"/>
      <c r="NMH117" s="222"/>
      <c r="NMI117" s="222"/>
      <c r="NMJ117" s="222"/>
      <c r="NMK117" s="222"/>
      <c r="NML117" s="222"/>
      <c r="NMM117" s="222"/>
      <c r="NMN117" s="222"/>
      <c r="NMO117" s="222"/>
      <c r="NMP117" s="222"/>
      <c r="NMQ117" s="222"/>
      <c r="NMR117" s="222"/>
      <c r="NMS117" s="222"/>
      <c r="NMT117" s="222"/>
      <c r="NMU117" s="222"/>
      <c r="NMV117" s="222"/>
      <c r="NMW117" s="222"/>
      <c r="NMX117" s="222"/>
      <c r="NMY117" s="222"/>
      <c r="NMZ117" s="222"/>
      <c r="NNA117" s="222"/>
      <c r="NNB117" s="222"/>
      <c r="NNC117" s="222"/>
      <c r="NND117" s="222"/>
      <c r="NNE117" s="222"/>
      <c r="NNF117" s="222"/>
      <c r="NNG117" s="222"/>
      <c r="NNH117" s="222"/>
      <c r="NNI117" s="222"/>
      <c r="NNJ117" s="222"/>
      <c r="NNK117" s="222"/>
      <c r="NNL117" s="222"/>
      <c r="NNM117" s="222"/>
      <c r="NNN117" s="222"/>
      <c r="NNO117" s="222"/>
      <c r="NNP117" s="222"/>
      <c r="NNQ117" s="222"/>
      <c r="NNR117" s="222"/>
      <c r="NNS117" s="222"/>
      <c r="NNT117" s="222"/>
      <c r="NNU117" s="222"/>
      <c r="NNV117" s="222"/>
      <c r="NNW117" s="222"/>
      <c r="NNX117" s="222"/>
      <c r="NNY117" s="222"/>
      <c r="NNZ117" s="222"/>
      <c r="NOA117" s="222"/>
      <c r="NOB117" s="222"/>
      <c r="NOC117" s="222"/>
      <c r="NOD117" s="222"/>
      <c r="NOE117" s="222"/>
      <c r="NOF117" s="222"/>
      <c r="NOG117" s="222"/>
      <c r="NOH117" s="222"/>
      <c r="NOI117" s="222"/>
      <c r="NOJ117" s="222"/>
      <c r="NOK117" s="222"/>
      <c r="NOL117" s="222"/>
      <c r="NOM117" s="222"/>
      <c r="NON117" s="222"/>
      <c r="NOO117" s="222"/>
      <c r="NOP117" s="222"/>
      <c r="NOQ117" s="222"/>
      <c r="NOR117" s="222"/>
      <c r="NOS117" s="222"/>
      <c r="NOT117" s="222"/>
      <c r="NOU117" s="222"/>
      <c r="NOV117" s="222"/>
      <c r="NOW117" s="222"/>
      <c r="NOX117" s="222"/>
      <c r="NOY117" s="222"/>
      <c r="NOZ117" s="222"/>
      <c r="NPA117" s="222"/>
      <c r="NPB117" s="222"/>
      <c r="NPC117" s="222"/>
      <c r="NPD117" s="222"/>
      <c r="NPE117" s="222"/>
      <c r="NPF117" s="222"/>
      <c r="NPG117" s="222"/>
      <c r="NPH117" s="222"/>
      <c r="NPI117" s="222"/>
      <c r="NPJ117" s="222"/>
      <c r="NPK117" s="222"/>
      <c r="NPL117" s="222"/>
      <c r="NPM117" s="222"/>
      <c r="NPN117" s="222"/>
      <c r="NPO117" s="222"/>
      <c r="NPP117" s="222"/>
      <c r="NPQ117" s="222"/>
      <c r="NPR117" s="222"/>
      <c r="NPS117" s="222"/>
      <c r="NPT117" s="222"/>
      <c r="NPU117" s="222"/>
      <c r="NPV117" s="222"/>
      <c r="NPW117" s="222"/>
      <c r="NPX117" s="222"/>
      <c r="NPY117" s="222"/>
      <c r="NPZ117" s="222"/>
      <c r="NQA117" s="222"/>
      <c r="NQB117" s="222"/>
      <c r="NQC117" s="222"/>
      <c r="NQD117" s="222"/>
      <c r="NQE117" s="222"/>
      <c r="NQF117" s="222"/>
      <c r="NQG117" s="222"/>
      <c r="NQH117" s="222"/>
      <c r="NQI117" s="222"/>
      <c r="NQJ117" s="222"/>
      <c r="NQK117" s="222"/>
      <c r="NQL117" s="222"/>
      <c r="NQM117" s="222"/>
      <c r="NQN117" s="222"/>
      <c r="NQO117" s="222"/>
      <c r="NQP117" s="222"/>
      <c r="NQQ117" s="222"/>
      <c r="NQR117" s="222"/>
      <c r="NQS117" s="222"/>
      <c r="NQT117" s="222"/>
      <c r="NQU117" s="222"/>
      <c r="NQV117" s="222"/>
      <c r="NQW117" s="222"/>
      <c r="NQX117" s="222"/>
      <c r="NQY117" s="222"/>
      <c r="NQZ117" s="222"/>
      <c r="NRA117" s="222"/>
      <c r="NRB117" s="222"/>
      <c r="NRC117" s="222"/>
      <c r="NRD117" s="222"/>
      <c r="NRE117" s="222"/>
      <c r="NRF117" s="222"/>
      <c r="NRG117" s="222"/>
      <c r="NRH117" s="222"/>
      <c r="NRI117" s="222"/>
      <c r="NRJ117" s="222"/>
      <c r="NRK117" s="222"/>
      <c r="NRL117" s="222"/>
      <c r="NRM117" s="222"/>
      <c r="NRN117" s="222"/>
      <c r="NRO117" s="222"/>
      <c r="NRP117" s="222"/>
      <c r="NRQ117" s="222"/>
      <c r="NRR117" s="222"/>
      <c r="NRS117" s="222"/>
      <c r="NRT117" s="222"/>
      <c r="NRU117" s="222"/>
      <c r="NRV117" s="222"/>
      <c r="NRW117" s="222"/>
      <c r="NRX117" s="222"/>
      <c r="NRY117" s="222"/>
      <c r="NRZ117" s="222"/>
      <c r="NSA117" s="222"/>
      <c r="NSB117" s="222"/>
      <c r="NSC117" s="222"/>
      <c r="NSD117" s="222"/>
      <c r="NSE117" s="222"/>
      <c r="NSF117" s="222"/>
      <c r="NSG117" s="222"/>
      <c r="NSH117" s="222"/>
      <c r="NSI117" s="222"/>
      <c r="NSJ117" s="222"/>
      <c r="NSK117" s="222"/>
      <c r="NSL117" s="222"/>
      <c r="NSM117" s="222"/>
      <c r="NSN117" s="222"/>
      <c r="NSO117" s="222"/>
      <c r="NSP117" s="222"/>
      <c r="NSQ117" s="222"/>
      <c r="NSR117" s="222"/>
      <c r="NSS117" s="222"/>
      <c r="NST117" s="222"/>
      <c r="NSU117" s="222"/>
      <c r="NSV117" s="222"/>
      <c r="NSW117" s="222"/>
      <c r="NSX117" s="222"/>
      <c r="NSY117" s="222"/>
      <c r="NSZ117" s="222"/>
      <c r="NTA117" s="222"/>
      <c r="NTB117" s="222"/>
      <c r="NTC117" s="222"/>
      <c r="NTD117" s="222"/>
      <c r="NTE117" s="222"/>
      <c r="NTF117" s="222"/>
      <c r="NTG117" s="222"/>
      <c r="NTH117" s="222"/>
      <c r="NTI117" s="222"/>
      <c r="NTJ117" s="222"/>
      <c r="NTK117" s="222"/>
      <c r="NTL117" s="222"/>
      <c r="NTM117" s="222"/>
      <c r="NTN117" s="222"/>
      <c r="NTO117" s="222"/>
      <c r="NTP117" s="222"/>
      <c r="NTQ117" s="222"/>
      <c r="NTR117" s="222"/>
      <c r="NTS117" s="222"/>
      <c r="NTT117" s="222"/>
      <c r="NTU117" s="222"/>
      <c r="NTV117" s="222"/>
      <c r="NTW117" s="222"/>
      <c r="NTX117" s="222"/>
      <c r="NTY117" s="222"/>
      <c r="NTZ117" s="222"/>
      <c r="NUA117" s="222"/>
      <c r="NUB117" s="222"/>
      <c r="NUC117" s="222"/>
      <c r="NUD117" s="222"/>
      <c r="NUE117" s="222"/>
      <c r="NUF117" s="222"/>
      <c r="NUG117" s="222"/>
      <c r="NUH117" s="222"/>
      <c r="NUI117" s="222"/>
      <c r="NUJ117" s="222"/>
      <c r="NUK117" s="222"/>
      <c r="NUL117" s="222"/>
      <c r="NUM117" s="222"/>
      <c r="NUN117" s="222"/>
      <c r="NUO117" s="222"/>
      <c r="NUP117" s="222"/>
      <c r="NUQ117" s="222"/>
      <c r="NUR117" s="222"/>
      <c r="NUS117" s="222"/>
      <c r="NUT117" s="222"/>
      <c r="NUU117" s="222"/>
      <c r="NUV117" s="222"/>
      <c r="NUW117" s="222"/>
      <c r="NUX117" s="222"/>
      <c r="NUY117" s="222"/>
      <c r="NUZ117" s="222"/>
      <c r="NVA117" s="222"/>
      <c r="NVB117" s="222"/>
      <c r="NVC117" s="222"/>
      <c r="NVD117" s="222"/>
      <c r="NVE117" s="222"/>
      <c r="NVF117" s="222"/>
      <c r="NVG117" s="222"/>
      <c r="NVH117" s="222"/>
      <c r="NVI117" s="222"/>
      <c r="NVJ117" s="222"/>
      <c r="NVK117" s="222"/>
      <c r="NVL117" s="222"/>
      <c r="NVM117" s="222"/>
      <c r="NVN117" s="222"/>
      <c r="NVO117" s="222"/>
      <c r="NVP117" s="222"/>
      <c r="NVQ117" s="222"/>
      <c r="NVR117" s="222"/>
      <c r="NVS117" s="222"/>
      <c r="NVT117" s="222"/>
      <c r="NVU117" s="222"/>
      <c r="NVV117" s="222"/>
      <c r="NVW117" s="222"/>
      <c r="NVX117" s="222"/>
      <c r="NVY117" s="222"/>
      <c r="NVZ117" s="222"/>
      <c r="NWA117" s="222"/>
      <c r="NWB117" s="222"/>
      <c r="NWC117" s="222"/>
      <c r="NWD117" s="222"/>
      <c r="NWE117" s="222"/>
      <c r="NWF117" s="222"/>
      <c r="NWG117" s="222"/>
      <c r="NWH117" s="222"/>
      <c r="NWI117" s="222"/>
      <c r="NWJ117" s="222"/>
      <c r="NWK117" s="222"/>
      <c r="NWL117" s="222"/>
      <c r="NWM117" s="222"/>
      <c r="NWN117" s="222"/>
      <c r="NWO117" s="222"/>
      <c r="NWP117" s="222"/>
      <c r="NWQ117" s="222"/>
      <c r="NWR117" s="222"/>
      <c r="NWS117" s="222"/>
      <c r="NWT117" s="222"/>
      <c r="NWU117" s="222"/>
      <c r="NWV117" s="222"/>
      <c r="NWW117" s="222"/>
      <c r="NWX117" s="222"/>
      <c r="NWY117" s="222"/>
      <c r="NWZ117" s="222"/>
      <c r="NXA117" s="222"/>
      <c r="NXB117" s="222"/>
      <c r="NXC117" s="222"/>
      <c r="NXD117" s="222"/>
      <c r="NXE117" s="222"/>
      <c r="NXF117" s="222"/>
      <c r="NXG117" s="222"/>
      <c r="NXH117" s="222"/>
      <c r="NXI117" s="222"/>
      <c r="NXJ117" s="222"/>
      <c r="NXK117" s="222"/>
      <c r="NXL117" s="222"/>
      <c r="NXM117" s="222"/>
      <c r="NXN117" s="222"/>
      <c r="NXO117" s="222"/>
      <c r="NXP117" s="222"/>
      <c r="NXQ117" s="222"/>
      <c r="NXR117" s="222"/>
      <c r="NXS117" s="222"/>
      <c r="NXT117" s="222"/>
      <c r="NXU117" s="222"/>
      <c r="NXV117" s="222"/>
      <c r="NXW117" s="222"/>
      <c r="NXX117" s="222"/>
      <c r="NXY117" s="222"/>
      <c r="NXZ117" s="222"/>
      <c r="NYA117" s="222"/>
      <c r="NYB117" s="222"/>
      <c r="NYC117" s="222"/>
      <c r="NYD117" s="222"/>
      <c r="NYE117" s="222"/>
      <c r="NYF117" s="222"/>
      <c r="NYG117" s="222"/>
      <c r="NYH117" s="222"/>
      <c r="NYI117" s="222"/>
      <c r="NYJ117" s="222"/>
      <c r="NYK117" s="222"/>
      <c r="NYL117" s="222"/>
      <c r="NYM117" s="222"/>
      <c r="NYN117" s="222"/>
      <c r="NYO117" s="222"/>
      <c r="NYP117" s="222"/>
      <c r="NYQ117" s="222"/>
      <c r="NYR117" s="222"/>
      <c r="NYS117" s="222"/>
      <c r="NYT117" s="222"/>
      <c r="NYU117" s="222"/>
      <c r="NYV117" s="222"/>
      <c r="NYW117" s="222"/>
      <c r="NYX117" s="222"/>
      <c r="NYY117" s="222"/>
      <c r="NYZ117" s="222"/>
      <c r="NZA117" s="222"/>
      <c r="NZB117" s="222"/>
      <c r="NZC117" s="222"/>
      <c r="NZD117" s="222"/>
      <c r="NZE117" s="222"/>
      <c r="NZF117" s="222"/>
      <c r="NZG117" s="222"/>
      <c r="NZH117" s="222"/>
      <c r="NZI117" s="222"/>
      <c r="NZJ117" s="222"/>
      <c r="NZK117" s="222"/>
      <c r="NZL117" s="222"/>
      <c r="NZM117" s="222"/>
      <c r="NZN117" s="222"/>
      <c r="NZO117" s="222"/>
      <c r="NZP117" s="222"/>
      <c r="NZQ117" s="222"/>
      <c r="NZR117" s="222"/>
      <c r="NZS117" s="222"/>
      <c r="NZT117" s="222"/>
      <c r="NZU117" s="222"/>
      <c r="NZV117" s="222"/>
      <c r="NZW117" s="222"/>
      <c r="NZX117" s="222"/>
      <c r="NZY117" s="222"/>
      <c r="NZZ117" s="222"/>
      <c r="OAA117" s="222"/>
      <c r="OAB117" s="222"/>
      <c r="OAC117" s="222"/>
      <c r="OAD117" s="222"/>
      <c r="OAE117" s="222"/>
      <c r="OAF117" s="222"/>
      <c r="OAG117" s="222"/>
      <c r="OAH117" s="222"/>
      <c r="OAI117" s="222"/>
      <c r="OAJ117" s="222"/>
      <c r="OAK117" s="222"/>
      <c r="OAL117" s="222"/>
      <c r="OAM117" s="222"/>
      <c r="OAN117" s="222"/>
      <c r="OAO117" s="222"/>
      <c r="OAP117" s="222"/>
      <c r="OAQ117" s="222"/>
      <c r="OAR117" s="222"/>
      <c r="OAS117" s="222"/>
      <c r="OAT117" s="222"/>
      <c r="OAU117" s="222"/>
      <c r="OAV117" s="222"/>
      <c r="OAW117" s="222"/>
      <c r="OAX117" s="222"/>
      <c r="OAY117" s="222"/>
      <c r="OAZ117" s="222"/>
      <c r="OBA117" s="222"/>
      <c r="OBB117" s="222"/>
      <c r="OBC117" s="222"/>
      <c r="OBD117" s="222"/>
      <c r="OBE117" s="222"/>
      <c r="OBF117" s="222"/>
      <c r="OBG117" s="222"/>
      <c r="OBH117" s="222"/>
      <c r="OBI117" s="222"/>
      <c r="OBJ117" s="222"/>
      <c r="OBK117" s="222"/>
      <c r="OBL117" s="222"/>
      <c r="OBM117" s="222"/>
      <c r="OBN117" s="222"/>
      <c r="OBO117" s="222"/>
      <c r="OBP117" s="222"/>
      <c r="OBQ117" s="222"/>
      <c r="OBR117" s="222"/>
      <c r="OBS117" s="222"/>
      <c r="OBT117" s="222"/>
      <c r="OBU117" s="222"/>
      <c r="OBV117" s="222"/>
      <c r="OBW117" s="222"/>
      <c r="OBX117" s="222"/>
      <c r="OBY117" s="222"/>
      <c r="OBZ117" s="222"/>
      <c r="OCA117" s="222"/>
      <c r="OCB117" s="222"/>
      <c r="OCC117" s="222"/>
      <c r="OCD117" s="222"/>
      <c r="OCE117" s="222"/>
      <c r="OCF117" s="222"/>
      <c r="OCG117" s="222"/>
      <c r="OCH117" s="222"/>
      <c r="OCI117" s="222"/>
      <c r="OCJ117" s="222"/>
      <c r="OCK117" s="222"/>
      <c r="OCL117" s="222"/>
      <c r="OCM117" s="222"/>
      <c r="OCN117" s="222"/>
      <c r="OCO117" s="222"/>
      <c r="OCP117" s="222"/>
      <c r="OCQ117" s="222"/>
      <c r="OCR117" s="222"/>
      <c r="OCS117" s="222"/>
      <c r="OCT117" s="222"/>
      <c r="OCU117" s="222"/>
      <c r="OCV117" s="222"/>
      <c r="OCW117" s="222"/>
      <c r="OCX117" s="222"/>
      <c r="OCY117" s="222"/>
      <c r="OCZ117" s="222"/>
      <c r="ODA117" s="222"/>
      <c r="ODB117" s="222"/>
      <c r="ODC117" s="222"/>
      <c r="ODD117" s="222"/>
      <c r="ODE117" s="222"/>
      <c r="ODF117" s="222"/>
      <c r="ODG117" s="222"/>
      <c r="ODH117" s="222"/>
      <c r="ODI117" s="222"/>
      <c r="ODJ117" s="222"/>
      <c r="ODK117" s="222"/>
      <c r="ODL117" s="222"/>
      <c r="ODM117" s="222"/>
      <c r="ODN117" s="222"/>
      <c r="ODO117" s="222"/>
      <c r="ODP117" s="222"/>
      <c r="ODQ117" s="222"/>
      <c r="ODR117" s="222"/>
      <c r="ODS117" s="222"/>
      <c r="ODT117" s="222"/>
      <c r="ODU117" s="222"/>
      <c r="ODV117" s="222"/>
      <c r="ODW117" s="222"/>
      <c r="ODX117" s="222"/>
      <c r="ODY117" s="222"/>
      <c r="ODZ117" s="222"/>
      <c r="OEA117" s="222"/>
      <c r="OEB117" s="222"/>
      <c r="OEC117" s="222"/>
      <c r="OED117" s="222"/>
      <c r="OEE117" s="222"/>
      <c r="OEF117" s="222"/>
      <c r="OEG117" s="222"/>
      <c r="OEH117" s="222"/>
      <c r="OEI117" s="222"/>
      <c r="OEJ117" s="222"/>
      <c r="OEK117" s="222"/>
      <c r="OEL117" s="222"/>
      <c r="OEM117" s="222"/>
      <c r="OEN117" s="222"/>
      <c r="OEO117" s="222"/>
      <c r="OEP117" s="222"/>
      <c r="OEQ117" s="222"/>
      <c r="OER117" s="222"/>
      <c r="OES117" s="222"/>
      <c r="OET117" s="222"/>
      <c r="OEU117" s="222"/>
      <c r="OEV117" s="222"/>
      <c r="OEW117" s="222"/>
      <c r="OEX117" s="222"/>
      <c r="OEY117" s="222"/>
      <c r="OEZ117" s="222"/>
      <c r="OFA117" s="222"/>
      <c r="OFB117" s="222"/>
      <c r="OFC117" s="222"/>
      <c r="OFD117" s="222"/>
      <c r="OFE117" s="222"/>
      <c r="OFF117" s="222"/>
      <c r="OFG117" s="222"/>
      <c r="OFH117" s="222"/>
      <c r="OFI117" s="222"/>
      <c r="OFJ117" s="222"/>
      <c r="OFK117" s="222"/>
      <c r="OFL117" s="222"/>
      <c r="OFM117" s="222"/>
      <c r="OFN117" s="222"/>
      <c r="OFO117" s="222"/>
      <c r="OFP117" s="222"/>
      <c r="OFQ117" s="222"/>
      <c r="OFR117" s="222"/>
      <c r="OFS117" s="222"/>
      <c r="OFT117" s="222"/>
      <c r="OFU117" s="222"/>
      <c r="OFV117" s="222"/>
      <c r="OFW117" s="222"/>
      <c r="OFX117" s="222"/>
      <c r="OFY117" s="222"/>
      <c r="OFZ117" s="222"/>
      <c r="OGA117" s="222"/>
      <c r="OGB117" s="222"/>
      <c r="OGC117" s="222"/>
      <c r="OGD117" s="222"/>
      <c r="OGE117" s="222"/>
      <c r="OGF117" s="222"/>
      <c r="OGG117" s="222"/>
      <c r="OGH117" s="222"/>
      <c r="OGI117" s="222"/>
      <c r="OGJ117" s="222"/>
      <c r="OGK117" s="222"/>
      <c r="OGL117" s="222"/>
      <c r="OGM117" s="222"/>
      <c r="OGN117" s="222"/>
      <c r="OGO117" s="222"/>
      <c r="OGP117" s="222"/>
      <c r="OGQ117" s="222"/>
      <c r="OGR117" s="222"/>
      <c r="OGS117" s="222"/>
      <c r="OGT117" s="222"/>
      <c r="OGU117" s="222"/>
      <c r="OGV117" s="222"/>
      <c r="OGW117" s="222"/>
      <c r="OGX117" s="222"/>
      <c r="OGY117" s="222"/>
      <c r="OGZ117" s="222"/>
      <c r="OHA117" s="222"/>
      <c r="OHB117" s="222"/>
      <c r="OHC117" s="222"/>
      <c r="OHD117" s="222"/>
      <c r="OHE117" s="222"/>
      <c r="OHF117" s="222"/>
      <c r="OHG117" s="222"/>
      <c r="OHH117" s="222"/>
      <c r="OHI117" s="222"/>
      <c r="OHJ117" s="222"/>
      <c r="OHK117" s="222"/>
      <c r="OHL117" s="222"/>
      <c r="OHM117" s="222"/>
      <c r="OHN117" s="222"/>
      <c r="OHO117" s="222"/>
      <c r="OHP117" s="222"/>
      <c r="OHQ117" s="222"/>
      <c r="OHR117" s="222"/>
      <c r="OHS117" s="222"/>
      <c r="OHT117" s="222"/>
      <c r="OHU117" s="222"/>
      <c r="OHV117" s="222"/>
      <c r="OHW117" s="222"/>
      <c r="OHX117" s="222"/>
      <c r="OHY117" s="222"/>
      <c r="OHZ117" s="222"/>
      <c r="OIA117" s="222"/>
      <c r="OIB117" s="222"/>
      <c r="OIC117" s="222"/>
      <c r="OID117" s="222"/>
      <c r="OIE117" s="222"/>
      <c r="OIF117" s="222"/>
      <c r="OIG117" s="222"/>
      <c r="OIH117" s="222"/>
      <c r="OII117" s="222"/>
      <c r="OIJ117" s="222"/>
      <c r="OIK117" s="222"/>
      <c r="OIL117" s="222"/>
      <c r="OIM117" s="222"/>
      <c r="OIN117" s="222"/>
      <c r="OIO117" s="222"/>
      <c r="OIP117" s="222"/>
      <c r="OIQ117" s="222"/>
      <c r="OIR117" s="222"/>
      <c r="OIS117" s="222"/>
      <c r="OIT117" s="222"/>
      <c r="OIU117" s="222"/>
      <c r="OIV117" s="222"/>
      <c r="OIW117" s="222"/>
      <c r="OIX117" s="222"/>
      <c r="OIY117" s="222"/>
      <c r="OIZ117" s="222"/>
      <c r="OJA117" s="222"/>
      <c r="OJB117" s="222"/>
      <c r="OJC117" s="222"/>
      <c r="OJD117" s="222"/>
      <c r="OJE117" s="222"/>
      <c r="OJF117" s="222"/>
      <c r="OJG117" s="222"/>
      <c r="OJH117" s="222"/>
      <c r="OJI117" s="222"/>
      <c r="OJJ117" s="222"/>
      <c r="OJK117" s="222"/>
      <c r="OJL117" s="222"/>
      <c r="OJM117" s="222"/>
      <c r="OJN117" s="222"/>
      <c r="OJO117" s="222"/>
      <c r="OJP117" s="222"/>
      <c r="OJQ117" s="222"/>
      <c r="OJR117" s="222"/>
      <c r="OJS117" s="222"/>
      <c r="OJT117" s="222"/>
      <c r="OJU117" s="222"/>
      <c r="OJV117" s="222"/>
      <c r="OJW117" s="222"/>
      <c r="OJX117" s="222"/>
      <c r="OJY117" s="222"/>
      <c r="OJZ117" s="222"/>
      <c r="OKA117" s="222"/>
      <c r="OKB117" s="222"/>
      <c r="OKC117" s="222"/>
      <c r="OKD117" s="222"/>
      <c r="OKE117" s="222"/>
      <c r="OKF117" s="222"/>
      <c r="OKG117" s="222"/>
      <c r="OKH117" s="222"/>
      <c r="OKI117" s="222"/>
      <c r="OKJ117" s="222"/>
      <c r="OKK117" s="222"/>
      <c r="OKL117" s="222"/>
      <c r="OKM117" s="222"/>
      <c r="OKN117" s="222"/>
      <c r="OKO117" s="222"/>
      <c r="OKP117" s="222"/>
      <c r="OKQ117" s="222"/>
      <c r="OKR117" s="222"/>
      <c r="OKS117" s="222"/>
      <c r="OKT117" s="222"/>
      <c r="OKU117" s="222"/>
      <c r="OKV117" s="222"/>
      <c r="OKW117" s="222"/>
      <c r="OKX117" s="222"/>
      <c r="OKY117" s="222"/>
      <c r="OKZ117" s="222"/>
      <c r="OLA117" s="222"/>
      <c r="OLB117" s="222"/>
      <c r="OLC117" s="222"/>
      <c r="OLD117" s="222"/>
      <c r="OLE117" s="222"/>
      <c r="OLF117" s="222"/>
      <c r="OLG117" s="222"/>
      <c r="OLH117" s="222"/>
      <c r="OLI117" s="222"/>
      <c r="OLJ117" s="222"/>
      <c r="OLK117" s="222"/>
      <c r="OLL117" s="222"/>
      <c r="OLM117" s="222"/>
      <c r="OLN117" s="222"/>
      <c r="OLO117" s="222"/>
      <c r="OLP117" s="222"/>
      <c r="OLQ117" s="222"/>
      <c r="OLR117" s="222"/>
      <c r="OLS117" s="222"/>
      <c r="OLT117" s="222"/>
      <c r="OLU117" s="222"/>
      <c r="OLV117" s="222"/>
      <c r="OLW117" s="222"/>
      <c r="OLX117" s="222"/>
      <c r="OLY117" s="222"/>
      <c r="OLZ117" s="222"/>
      <c r="OMA117" s="222"/>
      <c r="OMB117" s="222"/>
      <c r="OMC117" s="222"/>
      <c r="OMD117" s="222"/>
      <c r="OME117" s="222"/>
      <c r="OMF117" s="222"/>
      <c r="OMG117" s="222"/>
      <c r="OMH117" s="222"/>
      <c r="OMI117" s="222"/>
      <c r="OMJ117" s="222"/>
      <c r="OMK117" s="222"/>
      <c r="OML117" s="222"/>
      <c r="OMM117" s="222"/>
      <c r="OMN117" s="222"/>
      <c r="OMO117" s="222"/>
      <c r="OMP117" s="222"/>
      <c r="OMQ117" s="222"/>
      <c r="OMR117" s="222"/>
      <c r="OMS117" s="222"/>
      <c r="OMT117" s="222"/>
      <c r="OMU117" s="222"/>
      <c r="OMV117" s="222"/>
      <c r="OMW117" s="222"/>
      <c r="OMX117" s="222"/>
      <c r="OMY117" s="222"/>
      <c r="OMZ117" s="222"/>
      <c r="ONA117" s="222"/>
      <c r="ONB117" s="222"/>
      <c r="ONC117" s="222"/>
      <c r="OND117" s="222"/>
      <c r="ONE117" s="222"/>
      <c r="ONF117" s="222"/>
      <c r="ONG117" s="222"/>
      <c r="ONH117" s="222"/>
      <c r="ONI117" s="222"/>
      <c r="ONJ117" s="222"/>
      <c r="ONK117" s="222"/>
      <c r="ONL117" s="222"/>
      <c r="ONM117" s="222"/>
      <c r="ONN117" s="222"/>
      <c r="ONO117" s="222"/>
      <c r="ONP117" s="222"/>
      <c r="ONQ117" s="222"/>
      <c r="ONR117" s="222"/>
      <c r="ONS117" s="222"/>
      <c r="ONT117" s="222"/>
      <c r="ONU117" s="222"/>
      <c r="ONV117" s="222"/>
      <c r="ONW117" s="222"/>
      <c r="ONX117" s="222"/>
      <c r="ONY117" s="222"/>
      <c r="ONZ117" s="222"/>
      <c r="OOA117" s="222"/>
      <c r="OOB117" s="222"/>
      <c r="OOC117" s="222"/>
      <c r="OOD117" s="222"/>
      <c r="OOE117" s="222"/>
      <c r="OOF117" s="222"/>
      <c r="OOG117" s="222"/>
      <c r="OOH117" s="222"/>
      <c r="OOI117" s="222"/>
      <c r="OOJ117" s="222"/>
      <c r="OOK117" s="222"/>
      <c r="OOL117" s="222"/>
      <c r="OOM117" s="222"/>
      <c r="OON117" s="222"/>
      <c r="OOO117" s="222"/>
      <c r="OOP117" s="222"/>
      <c r="OOQ117" s="222"/>
      <c r="OOR117" s="222"/>
      <c r="OOS117" s="222"/>
      <c r="OOT117" s="222"/>
      <c r="OOU117" s="222"/>
      <c r="OOV117" s="222"/>
      <c r="OOW117" s="222"/>
      <c r="OOX117" s="222"/>
      <c r="OOY117" s="222"/>
      <c r="OOZ117" s="222"/>
      <c r="OPA117" s="222"/>
      <c r="OPB117" s="222"/>
      <c r="OPC117" s="222"/>
      <c r="OPD117" s="222"/>
      <c r="OPE117" s="222"/>
      <c r="OPF117" s="222"/>
      <c r="OPG117" s="222"/>
      <c r="OPH117" s="222"/>
      <c r="OPI117" s="222"/>
      <c r="OPJ117" s="222"/>
      <c r="OPK117" s="222"/>
      <c r="OPL117" s="222"/>
      <c r="OPM117" s="222"/>
      <c r="OPN117" s="222"/>
      <c r="OPO117" s="222"/>
      <c r="OPP117" s="222"/>
      <c r="OPQ117" s="222"/>
      <c r="OPR117" s="222"/>
      <c r="OPS117" s="222"/>
      <c r="OPT117" s="222"/>
      <c r="OPU117" s="222"/>
      <c r="OPV117" s="222"/>
      <c r="OPW117" s="222"/>
      <c r="OPX117" s="222"/>
      <c r="OPY117" s="222"/>
      <c r="OPZ117" s="222"/>
      <c r="OQA117" s="222"/>
      <c r="OQB117" s="222"/>
      <c r="OQC117" s="222"/>
      <c r="OQD117" s="222"/>
      <c r="OQE117" s="222"/>
      <c r="OQF117" s="222"/>
      <c r="OQG117" s="222"/>
      <c r="OQH117" s="222"/>
      <c r="OQI117" s="222"/>
      <c r="OQJ117" s="222"/>
      <c r="OQK117" s="222"/>
      <c r="OQL117" s="222"/>
      <c r="OQM117" s="222"/>
      <c r="OQN117" s="222"/>
      <c r="OQO117" s="222"/>
      <c r="OQP117" s="222"/>
      <c r="OQQ117" s="222"/>
      <c r="OQR117" s="222"/>
      <c r="OQS117" s="222"/>
      <c r="OQT117" s="222"/>
      <c r="OQU117" s="222"/>
      <c r="OQV117" s="222"/>
      <c r="OQW117" s="222"/>
      <c r="OQX117" s="222"/>
      <c r="OQY117" s="222"/>
      <c r="OQZ117" s="222"/>
      <c r="ORA117" s="222"/>
      <c r="ORB117" s="222"/>
      <c r="ORC117" s="222"/>
      <c r="ORD117" s="222"/>
      <c r="ORE117" s="222"/>
      <c r="ORF117" s="222"/>
      <c r="ORG117" s="222"/>
      <c r="ORH117" s="222"/>
      <c r="ORI117" s="222"/>
      <c r="ORJ117" s="222"/>
      <c r="ORK117" s="222"/>
      <c r="ORL117" s="222"/>
      <c r="ORM117" s="222"/>
      <c r="ORN117" s="222"/>
      <c r="ORO117" s="222"/>
      <c r="ORP117" s="222"/>
      <c r="ORQ117" s="222"/>
      <c r="ORR117" s="222"/>
      <c r="ORS117" s="222"/>
      <c r="ORT117" s="222"/>
      <c r="ORU117" s="222"/>
      <c r="ORV117" s="222"/>
      <c r="ORW117" s="222"/>
      <c r="ORX117" s="222"/>
      <c r="ORY117" s="222"/>
      <c r="ORZ117" s="222"/>
      <c r="OSA117" s="222"/>
      <c r="OSB117" s="222"/>
      <c r="OSC117" s="222"/>
      <c r="OSD117" s="222"/>
      <c r="OSE117" s="222"/>
      <c r="OSF117" s="222"/>
      <c r="OSG117" s="222"/>
      <c r="OSH117" s="222"/>
      <c r="OSI117" s="222"/>
      <c r="OSJ117" s="222"/>
      <c r="OSK117" s="222"/>
      <c r="OSL117" s="222"/>
      <c r="OSM117" s="222"/>
      <c r="OSN117" s="222"/>
      <c r="OSO117" s="222"/>
      <c r="OSP117" s="222"/>
      <c r="OSQ117" s="222"/>
      <c r="OSR117" s="222"/>
      <c r="OSS117" s="222"/>
      <c r="OST117" s="222"/>
      <c r="OSU117" s="222"/>
      <c r="OSV117" s="222"/>
      <c r="OSW117" s="222"/>
      <c r="OSX117" s="222"/>
      <c r="OSY117" s="222"/>
      <c r="OSZ117" s="222"/>
      <c r="OTA117" s="222"/>
      <c r="OTB117" s="222"/>
      <c r="OTC117" s="222"/>
      <c r="OTD117" s="222"/>
      <c r="OTE117" s="222"/>
      <c r="OTF117" s="222"/>
      <c r="OTG117" s="222"/>
      <c r="OTH117" s="222"/>
      <c r="OTI117" s="222"/>
      <c r="OTJ117" s="222"/>
      <c r="OTK117" s="222"/>
      <c r="OTL117" s="222"/>
      <c r="OTM117" s="222"/>
      <c r="OTN117" s="222"/>
      <c r="OTO117" s="222"/>
      <c r="OTP117" s="222"/>
      <c r="OTQ117" s="222"/>
      <c r="OTR117" s="222"/>
      <c r="OTS117" s="222"/>
      <c r="OTT117" s="222"/>
      <c r="OTU117" s="222"/>
      <c r="OTV117" s="222"/>
      <c r="OTW117" s="222"/>
      <c r="OTX117" s="222"/>
      <c r="OTY117" s="222"/>
      <c r="OTZ117" s="222"/>
      <c r="OUA117" s="222"/>
      <c r="OUB117" s="222"/>
      <c r="OUC117" s="222"/>
      <c r="OUD117" s="222"/>
      <c r="OUE117" s="222"/>
      <c r="OUF117" s="222"/>
      <c r="OUG117" s="222"/>
      <c r="OUH117" s="222"/>
      <c r="OUI117" s="222"/>
      <c r="OUJ117" s="222"/>
      <c r="OUK117" s="222"/>
      <c r="OUL117" s="222"/>
      <c r="OUM117" s="222"/>
      <c r="OUN117" s="222"/>
      <c r="OUO117" s="222"/>
      <c r="OUP117" s="222"/>
      <c r="OUQ117" s="222"/>
      <c r="OUR117" s="222"/>
      <c r="OUS117" s="222"/>
      <c r="OUT117" s="222"/>
      <c r="OUU117" s="222"/>
      <c r="OUV117" s="222"/>
      <c r="OUW117" s="222"/>
      <c r="OUX117" s="222"/>
      <c r="OUY117" s="222"/>
      <c r="OUZ117" s="222"/>
      <c r="OVA117" s="222"/>
      <c r="OVB117" s="222"/>
      <c r="OVC117" s="222"/>
      <c r="OVD117" s="222"/>
      <c r="OVE117" s="222"/>
      <c r="OVF117" s="222"/>
      <c r="OVG117" s="222"/>
      <c r="OVH117" s="222"/>
      <c r="OVI117" s="222"/>
      <c r="OVJ117" s="222"/>
      <c r="OVK117" s="222"/>
      <c r="OVL117" s="222"/>
      <c r="OVM117" s="222"/>
      <c r="OVN117" s="222"/>
      <c r="OVO117" s="222"/>
      <c r="OVP117" s="222"/>
      <c r="OVQ117" s="222"/>
      <c r="OVR117" s="222"/>
      <c r="OVS117" s="222"/>
      <c r="OVT117" s="222"/>
      <c r="OVU117" s="222"/>
      <c r="OVV117" s="222"/>
      <c r="OVW117" s="222"/>
      <c r="OVX117" s="222"/>
      <c r="OVY117" s="222"/>
      <c r="OVZ117" s="222"/>
      <c r="OWA117" s="222"/>
      <c r="OWB117" s="222"/>
      <c r="OWC117" s="222"/>
      <c r="OWD117" s="222"/>
      <c r="OWE117" s="222"/>
      <c r="OWF117" s="222"/>
      <c r="OWG117" s="222"/>
      <c r="OWH117" s="222"/>
      <c r="OWI117" s="222"/>
      <c r="OWJ117" s="222"/>
      <c r="OWK117" s="222"/>
      <c r="OWL117" s="222"/>
      <c r="OWM117" s="222"/>
      <c r="OWN117" s="222"/>
      <c r="OWO117" s="222"/>
      <c r="OWP117" s="222"/>
      <c r="OWQ117" s="222"/>
      <c r="OWR117" s="222"/>
      <c r="OWS117" s="222"/>
      <c r="OWT117" s="222"/>
      <c r="OWU117" s="222"/>
      <c r="OWV117" s="222"/>
      <c r="OWW117" s="222"/>
      <c r="OWX117" s="222"/>
      <c r="OWY117" s="222"/>
      <c r="OWZ117" s="222"/>
      <c r="OXA117" s="222"/>
      <c r="OXB117" s="222"/>
      <c r="OXC117" s="222"/>
      <c r="OXD117" s="222"/>
      <c r="OXE117" s="222"/>
      <c r="OXF117" s="222"/>
      <c r="OXG117" s="222"/>
      <c r="OXH117" s="222"/>
      <c r="OXI117" s="222"/>
      <c r="OXJ117" s="222"/>
      <c r="OXK117" s="222"/>
      <c r="OXL117" s="222"/>
      <c r="OXM117" s="222"/>
      <c r="OXN117" s="222"/>
      <c r="OXO117" s="222"/>
      <c r="OXP117" s="222"/>
      <c r="OXQ117" s="222"/>
      <c r="OXR117" s="222"/>
      <c r="OXS117" s="222"/>
      <c r="OXT117" s="222"/>
      <c r="OXU117" s="222"/>
      <c r="OXV117" s="222"/>
      <c r="OXW117" s="222"/>
      <c r="OXX117" s="222"/>
      <c r="OXY117" s="222"/>
      <c r="OXZ117" s="222"/>
      <c r="OYA117" s="222"/>
      <c r="OYB117" s="222"/>
      <c r="OYC117" s="222"/>
      <c r="OYD117" s="222"/>
      <c r="OYE117" s="222"/>
      <c r="OYF117" s="222"/>
      <c r="OYG117" s="222"/>
      <c r="OYH117" s="222"/>
      <c r="OYI117" s="222"/>
      <c r="OYJ117" s="222"/>
      <c r="OYK117" s="222"/>
      <c r="OYL117" s="222"/>
      <c r="OYM117" s="222"/>
      <c r="OYN117" s="222"/>
      <c r="OYO117" s="222"/>
      <c r="OYP117" s="222"/>
      <c r="OYQ117" s="222"/>
      <c r="OYR117" s="222"/>
      <c r="OYS117" s="222"/>
      <c r="OYT117" s="222"/>
      <c r="OYU117" s="222"/>
      <c r="OYV117" s="222"/>
      <c r="OYW117" s="222"/>
      <c r="OYX117" s="222"/>
      <c r="OYY117" s="222"/>
      <c r="OYZ117" s="222"/>
      <c r="OZA117" s="222"/>
      <c r="OZB117" s="222"/>
      <c r="OZC117" s="222"/>
      <c r="OZD117" s="222"/>
      <c r="OZE117" s="222"/>
      <c r="OZF117" s="222"/>
      <c r="OZG117" s="222"/>
      <c r="OZH117" s="222"/>
      <c r="OZI117" s="222"/>
      <c r="OZJ117" s="222"/>
      <c r="OZK117" s="222"/>
      <c r="OZL117" s="222"/>
      <c r="OZM117" s="222"/>
      <c r="OZN117" s="222"/>
      <c r="OZO117" s="222"/>
      <c r="OZP117" s="222"/>
      <c r="OZQ117" s="222"/>
      <c r="OZR117" s="222"/>
      <c r="OZS117" s="222"/>
      <c r="OZT117" s="222"/>
      <c r="OZU117" s="222"/>
      <c r="OZV117" s="222"/>
      <c r="OZW117" s="222"/>
      <c r="OZX117" s="222"/>
      <c r="OZY117" s="222"/>
      <c r="OZZ117" s="222"/>
      <c r="PAA117" s="222"/>
      <c r="PAB117" s="222"/>
      <c r="PAC117" s="222"/>
      <c r="PAD117" s="222"/>
      <c r="PAE117" s="222"/>
      <c r="PAF117" s="222"/>
      <c r="PAG117" s="222"/>
      <c r="PAH117" s="222"/>
      <c r="PAI117" s="222"/>
      <c r="PAJ117" s="222"/>
      <c r="PAK117" s="222"/>
      <c r="PAL117" s="222"/>
      <c r="PAM117" s="222"/>
      <c r="PAN117" s="222"/>
      <c r="PAO117" s="222"/>
      <c r="PAP117" s="222"/>
      <c r="PAQ117" s="222"/>
      <c r="PAR117" s="222"/>
      <c r="PAS117" s="222"/>
      <c r="PAT117" s="222"/>
      <c r="PAU117" s="222"/>
      <c r="PAV117" s="222"/>
      <c r="PAW117" s="222"/>
      <c r="PAX117" s="222"/>
      <c r="PAY117" s="222"/>
      <c r="PAZ117" s="222"/>
      <c r="PBA117" s="222"/>
      <c r="PBB117" s="222"/>
      <c r="PBC117" s="222"/>
      <c r="PBD117" s="222"/>
      <c r="PBE117" s="222"/>
      <c r="PBF117" s="222"/>
      <c r="PBG117" s="222"/>
      <c r="PBH117" s="222"/>
      <c r="PBI117" s="222"/>
      <c r="PBJ117" s="222"/>
      <c r="PBK117" s="222"/>
      <c r="PBL117" s="222"/>
      <c r="PBM117" s="222"/>
      <c r="PBN117" s="222"/>
      <c r="PBO117" s="222"/>
      <c r="PBP117" s="222"/>
      <c r="PBQ117" s="222"/>
      <c r="PBR117" s="222"/>
      <c r="PBS117" s="222"/>
      <c r="PBT117" s="222"/>
      <c r="PBU117" s="222"/>
      <c r="PBV117" s="222"/>
      <c r="PBW117" s="222"/>
      <c r="PBX117" s="222"/>
      <c r="PBY117" s="222"/>
      <c r="PBZ117" s="222"/>
      <c r="PCA117" s="222"/>
      <c r="PCB117" s="222"/>
      <c r="PCC117" s="222"/>
      <c r="PCD117" s="222"/>
      <c r="PCE117" s="222"/>
      <c r="PCF117" s="222"/>
      <c r="PCG117" s="222"/>
      <c r="PCH117" s="222"/>
      <c r="PCI117" s="222"/>
      <c r="PCJ117" s="222"/>
      <c r="PCK117" s="222"/>
      <c r="PCL117" s="222"/>
      <c r="PCM117" s="222"/>
      <c r="PCN117" s="222"/>
      <c r="PCO117" s="222"/>
      <c r="PCP117" s="222"/>
      <c r="PCQ117" s="222"/>
      <c r="PCR117" s="222"/>
      <c r="PCS117" s="222"/>
      <c r="PCT117" s="222"/>
      <c r="PCU117" s="222"/>
      <c r="PCV117" s="222"/>
      <c r="PCW117" s="222"/>
      <c r="PCX117" s="222"/>
      <c r="PCY117" s="222"/>
      <c r="PCZ117" s="222"/>
      <c r="PDA117" s="222"/>
      <c r="PDB117" s="222"/>
      <c r="PDC117" s="222"/>
      <c r="PDD117" s="222"/>
      <c r="PDE117" s="222"/>
      <c r="PDF117" s="222"/>
      <c r="PDG117" s="222"/>
      <c r="PDH117" s="222"/>
      <c r="PDI117" s="222"/>
      <c r="PDJ117" s="222"/>
      <c r="PDK117" s="222"/>
      <c r="PDL117" s="222"/>
      <c r="PDM117" s="222"/>
      <c r="PDN117" s="222"/>
      <c r="PDO117" s="222"/>
      <c r="PDP117" s="222"/>
      <c r="PDQ117" s="222"/>
      <c r="PDR117" s="222"/>
      <c r="PDS117" s="222"/>
      <c r="PDT117" s="222"/>
      <c r="PDU117" s="222"/>
      <c r="PDV117" s="222"/>
      <c r="PDW117" s="222"/>
      <c r="PDX117" s="222"/>
      <c r="PDY117" s="222"/>
      <c r="PDZ117" s="222"/>
      <c r="PEA117" s="222"/>
      <c r="PEB117" s="222"/>
      <c r="PEC117" s="222"/>
      <c r="PED117" s="222"/>
      <c r="PEE117" s="222"/>
      <c r="PEF117" s="222"/>
      <c r="PEG117" s="222"/>
      <c r="PEH117" s="222"/>
      <c r="PEI117" s="222"/>
      <c r="PEJ117" s="222"/>
      <c r="PEK117" s="222"/>
      <c r="PEL117" s="222"/>
      <c r="PEM117" s="222"/>
      <c r="PEN117" s="222"/>
      <c r="PEO117" s="222"/>
      <c r="PEP117" s="222"/>
      <c r="PEQ117" s="222"/>
      <c r="PER117" s="222"/>
      <c r="PES117" s="222"/>
      <c r="PET117" s="222"/>
      <c r="PEU117" s="222"/>
      <c r="PEV117" s="222"/>
      <c r="PEW117" s="222"/>
      <c r="PEX117" s="222"/>
      <c r="PEY117" s="222"/>
      <c r="PEZ117" s="222"/>
      <c r="PFA117" s="222"/>
      <c r="PFB117" s="222"/>
      <c r="PFC117" s="222"/>
      <c r="PFD117" s="222"/>
      <c r="PFE117" s="222"/>
      <c r="PFF117" s="222"/>
      <c r="PFG117" s="222"/>
      <c r="PFH117" s="222"/>
      <c r="PFI117" s="222"/>
      <c r="PFJ117" s="222"/>
      <c r="PFK117" s="222"/>
      <c r="PFL117" s="222"/>
      <c r="PFM117" s="222"/>
      <c r="PFN117" s="222"/>
      <c r="PFO117" s="222"/>
      <c r="PFP117" s="222"/>
      <c r="PFQ117" s="222"/>
      <c r="PFR117" s="222"/>
      <c r="PFS117" s="222"/>
      <c r="PFT117" s="222"/>
      <c r="PFU117" s="222"/>
      <c r="PFV117" s="222"/>
      <c r="PFW117" s="222"/>
      <c r="PFX117" s="222"/>
      <c r="PFY117" s="222"/>
      <c r="PFZ117" s="222"/>
      <c r="PGA117" s="222"/>
      <c r="PGB117" s="222"/>
      <c r="PGC117" s="222"/>
      <c r="PGD117" s="222"/>
      <c r="PGE117" s="222"/>
      <c r="PGF117" s="222"/>
      <c r="PGG117" s="222"/>
      <c r="PGH117" s="222"/>
      <c r="PGI117" s="222"/>
      <c r="PGJ117" s="222"/>
      <c r="PGK117" s="222"/>
      <c r="PGL117" s="222"/>
      <c r="PGM117" s="222"/>
      <c r="PGN117" s="222"/>
      <c r="PGO117" s="222"/>
      <c r="PGP117" s="222"/>
      <c r="PGQ117" s="222"/>
      <c r="PGR117" s="222"/>
      <c r="PGS117" s="222"/>
      <c r="PGT117" s="222"/>
      <c r="PGU117" s="222"/>
      <c r="PGV117" s="222"/>
      <c r="PGW117" s="222"/>
      <c r="PGX117" s="222"/>
      <c r="PGY117" s="222"/>
      <c r="PGZ117" s="222"/>
      <c r="PHA117" s="222"/>
      <c r="PHB117" s="222"/>
      <c r="PHC117" s="222"/>
      <c r="PHD117" s="222"/>
      <c r="PHE117" s="222"/>
      <c r="PHF117" s="222"/>
      <c r="PHG117" s="222"/>
      <c r="PHH117" s="222"/>
      <c r="PHI117" s="222"/>
      <c r="PHJ117" s="222"/>
      <c r="PHK117" s="222"/>
      <c r="PHL117" s="222"/>
      <c r="PHM117" s="222"/>
      <c r="PHN117" s="222"/>
      <c r="PHO117" s="222"/>
      <c r="PHP117" s="222"/>
      <c r="PHQ117" s="222"/>
      <c r="PHR117" s="222"/>
      <c r="PHS117" s="222"/>
      <c r="PHT117" s="222"/>
      <c r="PHU117" s="222"/>
      <c r="PHV117" s="222"/>
      <c r="PHW117" s="222"/>
      <c r="PHX117" s="222"/>
      <c r="PHY117" s="222"/>
      <c r="PHZ117" s="222"/>
      <c r="PIA117" s="222"/>
      <c r="PIB117" s="222"/>
      <c r="PIC117" s="222"/>
      <c r="PID117" s="222"/>
      <c r="PIE117" s="222"/>
      <c r="PIF117" s="222"/>
      <c r="PIG117" s="222"/>
      <c r="PIH117" s="222"/>
      <c r="PII117" s="222"/>
      <c r="PIJ117" s="222"/>
      <c r="PIK117" s="222"/>
      <c r="PIL117" s="222"/>
      <c r="PIM117" s="222"/>
      <c r="PIN117" s="222"/>
      <c r="PIO117" s="222"/>
      <c r="PIP117" s="222"/>
      <c r="PIQ117" s="222"/>
      <c r="PIR117" s="222"/>
      <c r="PIS117" s="222"/>
      <c r="PIT117" s="222"/>
      <c r="PIU117" s="222"/>
      <c r="PIV117" s="222"/>
      <c r="PIW117" s="222"/>
      <c r="PIX117" s="222"/>
      <c r="PIY117" s="222"/>
      <c r="PIZ117" s="222"/>
      <c r="PJA117" s="222"/>
      <c r="PJB117" s="222"/>
      <c r="PJC117" s="222"/>
      <c r="PJD117" s="222"/>
      <c r="PJE117" s="222"/>
      <c r="PJF117" s="222"/>
      <c r="PJG117" s="222"/>
      <c r="PJH117" s="222"/>
      <c r="PJI117" s="222"/>
      <c r="PJJ117" s="222"/>
      <c r="PJK117" s="222"/>
      <c r="PJL117" s="222"/>
      <c r="PJM117" s="222"/>
      <c r="PJN117" s="222"/>
      <c r="PJO117" s="222"/>
      <c r="PJP117" s="222"/>
      <c r="PJQ117" s="222"/>
      <c r="PJR117" s="222"/>
      <c r="PJS117" s="222"/>
      <c r="PJT117" s="222"/>
      <c r="PJU117" s="222"/>
      <c r="PJV117" s="222"/>
      <c r="PJW117" s="222"/>
      <c r="PJX117" s="222"/>
      <c r="PJY117" s="222"/>
      <c r="PJZ117" s="222"/>
      <c r="PKA117" s="222"/>
      <c r="PKB117" s="222"/>
      <c r="PKC117" s="222"/>
      <c r="PKD117" s="222"/>
      <c r="PKE117" s="222"/>
      <c r="PKF117" s="222"/>
      <c r="PKG117" s="222"/>
      <c r="PKH117" s="222"/>
      <c r="PKI117" s="222"/>
      <c r="PKJ117" s="222"/>
      <c r="PKK117" s="222"/>
      <c r="PKL117" s="222"/>
      <c r="PKM117" s="222"/>
      <c r="PKN117" s="222"/>
      <c r="PKO117" s="222"/>
      <c r="PKP117" s="222"/>
      <c r="PKQ117" s="222"/>
      <c r="PKR117" s="222"/>
      <c r="PKS117" s="222"/>
      <c r="PKT117" s="222"/>
      <c r="PKU117" s="222"/>
      <c r="PKV117" s="222"/>
      <c r="PKW117" s="222"/>
      <c r="PKX117" s="222"/>
      <c r="PKY117" s="222"/>
      <c r="PKZ117" s="222"/>
      <c r="PLA117" s="222"/>
      <c r="PLB117" s="222"/>
      <c r="PLC117" s="222"/>
      <c r="PLD117" s="222"/>
      <c r="PLE117" s="222"/>
      <c r="PLF117" s="222"/>
      <c r="PLG117" s="222"/>
      <c r="PLH117" s="222"/>
      <c r="PLI117" s="222"/>
      <c r="PLJ117" s="222"/>
      <c r="PLK117" s="222"/>
      <c r="PLL117" s="222"/>
      <c r="PLM117" s="222"/>
      <c r="PLN117" s="222"/>
      <c r="PLO117" s="222"/>
      <c r="PLP117" s="222"/>
      <c r="PLQ117" s="222"/>
      <c r="PLR117" s="222"/>
      <c r="PLS117" s="222"/>
      <c r="PLT117" s="222"/>
      <c r="PLU117" s="222"/>
      <c r="PLV117" s="222"/>
      <c r="PLW117" s="222"/>
      <c r="PLX117" s="222"/>
      <c r="PLY117" s="222"/>
      <c r="PLZ117" s="222"/>
      <c r="PMA117" s="222"/>
      <c r="PMB117" s="222"/>
      <c r="PMC117" s="222"/>
      <c r="PMD117" s="222"/>
      <c r="PME117" s="222"/>
      <c r="PMF117" s="222"/>
      <c r="PMG117" s="222"/>
      <c r="PMH117" s="222"/>
      <c r="PMI117" s="222"/>
      <c r="PMJ117" s="222"/>
      <c r="PMK117" s="222"/>
      <c r="PML117" s="222"/>
      <c r="PMM117" s="222"/>
      <c r="PMN117" s="222"/>
      <c r="PMO117" s="222"/>
      <c r="PMP117" s="222"/>
      <c r="PMQ117" s="222"/>
      <c r="PMR117" s="222"/>
      <c r="PMS117" s="222"/>
      <c r="PMT117" s="222"/>
      <c r="PMU117" s="222"/>
      <c r="PMV117" s="222"/>
      <c r="PMW117" s="222"/>
      <c r="PMX117" s="222"/>
      <c r="PMY117" s="222"/>
      <c r="PMZ117" s="222"/>
      <c r="PNA117" s="222"/>
      <c r="PNB117" s="222"/>
      <c r="PNC117" s="222"/>
      <c r="PND117" s="222"/>
      <c r="PNE117" s="222"/>
      <c r="PNF117" s="222"/>
      <c r="PNG117" s="222"/>
      <c r="PNH117" s="222"/>
      <c r="PNI117" s="222"/>
      <c r="PNJ117" s="222"/>
      <c r="PNK117" s="222"/>
      <c r="PNL117" s="222"/>
      <c r="PNM117" s="222"/>
      <c r="PNN117" s="222"/>
      <c r="PNO117" s="222"/>
      <c r="PNP117" s="222"/>
      <c r="PNQ117" s="222"/>
      <c r="PNR117" s="222"/>
      <c r="PNS117" s="222"/>
      <c r="PNT117" s="222"/>
      <c r="PNU117" s="222"/>
      <c r="PNV117" s="222"/>
      <c r="PNW117" s="222"/>
      <c r="PNX117" s="222"/>
      <c r="PNY117" s="222"/>
      <c r="PNZ117" s="222"/>
      <c r="POA117" s="222"/>
      <c r="POB117" s="222"/>
      <c r="POC117" s="222"/>
      <c r="POD117" s="222"/>
      <c r="POE117" s="222"/>
      <c r="POF117" s="222"/>
      <c r="POG117" s="222"/>
      <c r="POH117" s="222"/>
      <c r="POI117" s="222"/>
      <c r="POJ117" s="222"/>
      <c r="POK117" s="222"/>
      <c r="POL117" s="222"/>
      <c r="POM117" s="222"/>
      <c r="PON117" s="222"/>
      <c r="POO117" s="222"/>
      <c r="POP117" s="222"/>
      <c r="POQ117" s="222"/>
      <c r="POR117" s="222"/>
      <c r="POS117" s="222"/>
      <c r="POT117" s="222"/>
      <c r="POU117" s="222"/>
      <c r="POV117" s="222"/>
      <c r="POW117" s="222"/>
      <c r="POX117" s="222"/>
      <c r="POY117" s="222"/>
      <c r="POZ117" s="222"/>
      <c r="PPA117" s="222"/>
      <c r="PPB117" s="222"/>
      <c r="PPC117" s="222"/>
      <c r="PPD117" s="222"/>
      <c r="PPE117" s="222"/>
      <c r="PPF117" s="222"/>
      <c r="PPG117" s="222"/>
      <c r="PPH117" s="222"/>
      <c r="PPI117" s="222"/>
      <c r="PPJ117" s="222"/>
      <c r="PPK117" s="222"/>
      <c r="PPL117" s="222"/>
      <c r="PPM117" s="222"/>
      <c r="PPN117" s="222"/>
      <c r="PPO117" s="222"/>
      <c r="PPP117" s="222"/>
      <c r="PPQ117" s="222"/>
      <c r="PPR117" s="222"/>
      <c r="PPS117" s="222"/>
      <c r="PPT117" s="222"/>
      <c r="PPU117" s="222"/>
      <c r="PPV117" s="222"/>
      <c r="PPW117" s="222"/>
      <c r="PPX117" s="222"/>
      <c r="PPY117" s="222"/>
      <c r="PPZ117" s="222"/>
      <c r="PQA117" s="222"/>
      <c r="PQB117" s="222"/>
      <c r="PQC117" s="222"/>
      <c r="PQD117" s="222"/>
      <c r="PQE117" s="222"/>
      <c r="PQF117" s="222"/>
      <c r="PQG117" s="222"/>
      <c r="PQH117" s="222"/>
      <c r="PQI117" s="222"/>
      <c r="PQJ117" s="222"/>
      <c r="PQK117" s="222"/>
      <c r="PQL117" s="222"/>
      <c r="PQM117" s="222"/>
      <c r="PQN117" s="222"/>
      <c r="PQO117" s="222"/>
      <c r="PQP117" s="222"/>
      <c r="PQQ117" s="222"/>
      <c r="PQR117" s="222"/>
      <c r="PQS117" s="222"/>
      <c r="PQT117" s="222"/>
      <c r="PQU117" s="222"/>
      <c r="PQV117" s="222"/>
      <c r="PQW117" s="222"/>
      <c r="PQX117" s="222"/>
      <c r="PQY117" s="222"/>
      <c r="PQZ117" s="222"/>
      <c r="PRA117" s="222"/>
      <c r="PRB117" s="222"/>
      <c r="PRC117" s="222"/>
      <c r="PRD117" s="222"/>
      <c r="PRE117" s="222"/>
      <c r="PRF117" s="222"/>
      <c r="PRG117" s="222"/>
      <c r="PRH117" s="222"/>
      <c r="PRI117" s="222"/>
      <c r="PRJ117" s="222"/>
      <c r="PRK117" s="222"/>
      <c r="PRL117" s="222"/>
      <c r="PRM117" s="222"/>
      <c r="PRN117" s="222"/>
      <c r="PRO117" s="222"/>
      <c r="PRP117" s="222"/>
      <c r="PRQ117" s="222"/>
      <c r="PRR117" s="222"/>
      <c r="PRS117" s="222"/>
      <c r="PRT117" s="222"/>
      <c r="PRU117" s="222"/>
      <c r="PRV117" s="222"/>
      <c r="PRW117" s="222"/>
      <c r="PRX117" s="222"/>
      <c r="PRY117" s="222"/>
      <c r="PRZ117" s="222"/>
      <c r="PSA117" s="222"/>
      <c r="PSB117" s="222"/>
      <c r="PSC117" s="222"/>
      <c r="PSD117" s="222"/>
      <c r="PSE117" s="222"/>
      <c r="PSF117" s="222"/>
      <c r="PSG117" s="222"/>
      <c r="PSH117" s="222"/>
      <c r="PSI117" s="222"/>
      <c r="PSJ117" s="222"/>
      <c r="PSK117" s="222"/>
      <c r="PSL117" s="222"/>
      <c r="PSM117" s="222"/>
      <c r="PSN117" s="222"/>
      <c r="PSO117" s="222"/>
      <c r="PSP117" s="222"/>
      <c r="PSQ117" s="222"/>
      <c r="PSR117" s="222"/>
      <c r="PSS117" s="222"/>
      <c r="PST117" s="222"/>
      <c r="PSU117" s="222"/>
      <c r="PSV117" s="222"/>
      <c r="PSW117" s="222"/>
      <c r="PSX117" s="222"/>
      <c r="PSY117" s="222"/>
      <c r="PSZ117" s="222"/>
      <c r="PTA117" s="222"/>
      <c r="PTB117" s="222"/>
      <c r="PTC117" s="222"/>
      <c r="PTD117" s="222"/>
      <c r="PTE117" s="222"/>
      <c r="PTF117" s="222"/>
      <c r="PTG117" s="222"/>
      <c r="PTH117" s="222"/>
      <c r="PTI117" s="222"/>
      <c r="PTJ117" s="222"/>
      <c r="PTK117" s="222"/>
      <c r="PTL117" s="222"/>
      <c r="PTM117" s="222"/>
      <c r="PTN117" s="222"/>
      <c r="PTO117" s="222"/>
      <c r="PTP117" s="222"/>
      <c r="PTQ117" s="222"/>
      <c r="PTR117" s="222"/>
      <c r="PTS117" s="222"/>
      <c r="PTT117" s="222"/>
      <c r="PTU117" s="222"/>
      <c r="PTV117" s="222"/>
      <c r="PTW117" s="222"/>
      <c r="PTX117" s="222"/>
      <c r="PTY117" s="222"/>
      <c r="PTZ117" s="222"/>
      <c r="PUA117" s="222"/>
      <c r="PUB117" s="222"/>
      <c r="PUC117" s="222"/>
      <c r="PUD117" s="222"/>
      <c r="PUE117" s="222"/>
      <c r="PUF117" s="222"/>
      <c r="PUG117" s="222"/>
      <c r="PUH117" s="222"/>
      <c r="PUI117" s="222"/>
      <c r="PUJ117" s="222"/>
      <c r="PUK117" s="222"/>
      <c r="PUL117" s="222"/>
      <c r="PUM117" s="222"/>
      <c r="PUN117" s="222"/>
      <c r="PUO117" s="222"/>
      <c r="PUP117" s="222"/>
      <c r="PUQ117" s="222"/>
      <c r="PUR117" s="222"/>
      <c r="PUS117" s="222"/>
      <c r="PUT117" s="222"/>
      <c r="PUU117" s="222"/>
      <c r="PUV117" s="222"/>
      <c r="PUW117" s="222"/>
      <c r="PUX117" s="222"/>
      <c r="PUY117" s="222"/>
      <c r="PUZ117" s="222"/>
      <c r="PVA117" s="222"/>
      <c r="PVB117" s="222"/>
      <c r="PVC117" s="222"/>
      <c r="PVD117" s="222"/>
      <c r="PVE117" s="222"/>
      <c r="PVF117" s="222"/>
      <c r="PVG117" s="222"/>
      <c r="PVH117" s="222"/>
      <c r="PVI117" s="222"/>
      <c r="PVJ117" s="222"/>
      <c r="PVK117" s="222"/>
      <c r="PVL117" s="222"/>
      <c r="PVM117" s="222"/>
      <c r="PVN117" s="222"/>
      <c r="PVO117" s="222"/>
      <c r="PVP117" s="222"/>
      <c r="PVQ117" s="222"/>
      <c r="PVR117" s="222"/>
      <c r="PVS117" s="222"/>
      <c r="PVT117" s="222"/>
      <c r="PVU117" s="222"/>
      <c r="PVV117" s="222"/>
      <c r="PVW117" s="222"/>
      <c r="PVX117" s="222"/>
      <c r="PVY117" s="222"/>
      <c r="PVZ117" s="222"/>
      <c r="PWA117" s="222"/>
      <c r="PWB117" s="222"/>
      <c r="PWC117" s="222"/>
      <c r="PWD117" s="222"/>
      <c r="PWE117" s="222"/>
      <c r="PWF117" s="222"/>
      <c r="PWG117" s="222"/>
      <c r="PWH117" s="222"/>
      <c r="PWI117" s="222"/>
      <c r="PWJ117" s="222"/>
      <c r="PWK117" s="222"/>
      <c r="PWL117" s="222"/>
      <c r="PWM117" s="222"/>
      <c r="PWN117" s="222"/>
      <c r="PWO117" s="222"/>
      <c r="PWP117" s="222"/>
      <c r="PWQ117" s="222"/>
      <c r="PWR117" s="222"/>
      <c r="PWS117" s="222"/>
      <c r="PWT117" s="222"/>
      <c r="PWU117" s="222"/>
      <c r="PWV117" s="222"/>
      <c r="PWW117" s="222"/>
      <c r="PWX117" s="222"/>
      <c r="PWY117" s="222"/>
      <c r="PWZ117" s="222"/>
      <c r="PXA117" s="222"/>
      <c r="PXB117" s="222"/>
      <c r="PXC117" s="222"/>
      <c r="PXD117" s="222"/>
      <c r="PXE117" s="222"/>
      <c r="PXF117" s="222"/>
      <c r="PXG117" s="222"/>
      <c r="PXH117" s="222"/>
      <c r="PXI117" s="222"/>
      <c r="PXJ117" s="222"/>
      <c r="PXK117" s="222"/>
      <c r="PXL117" s="222"/>
      <c r="PXM117" s="222"/>
      <c r="PXN117" s="222"/>
      <c r="PXO117" s="222"/>
      <c r="PXP117" s="222"/>
      <c r="PXQ117" s="222"/>
      <c r="PXR117" s="222"/>
      <c r="PXS117" s="222"/>
      <c r="PXT117" s="222"/>
      <c r="PXU117" s="222"/>
      <c r="PXV117" s="222"/>
      <c r="PXW117" s="222"/>
      <c r="PXX117" s="222"/>
      <c r="PXY117" s="222"/>
      <c r="PXZ117" s="222"/>
      <c r="PYA117" s="222"/>
      <c r="PYB117" s="222"/>
      <c r="PYC117" s="222"/>
      <c r="PYD117" s="222"/>
      <c r="PYE117" s="222"/>
      <c r="PYF117" s="222"/>
      <c r="PYG117" s="222"/>
      <c r="PYH117" s="222"/>
      <c r="PYI117" s="222"/>
      <c r="PYJ117" s="222"/>
      <c r="PYK117" s="222"/>
      <c r="PYL117" s="222"/>
      <c r="PYM117" s="222"/>
      <c r="PYN117" s="222"/>
      <c r="PYO117" s="222"/>
      <c r="PYP117" s="222"/>
      <c r="PYQ117" s="222"/>
      <c r="PYR117" s="222"/>
      <c r="PYS117" s="222"/>
      <c r="PYT117" s="222"/>
      <c r="PYU117" s="222"/>
      <c r="PYV117" s="222"/>
      <c r="PYW117" s="222"/>
      <c r="PYX117" s="222"/>
      <c r="PYY117" s="222"/>
      <c r="PYZ117" s="222"/>
      <c r="PZA117" s="222"/>
      <c r="PZB117" s="222"/>
      <c r="PZC117" s="222"/>
      <c r="PZD117" s="222"/>
      <c r="PZE117" s="222"/>
      <c r="PZF117" s="222"/>
      <c r="PZG117" s="222"/>
      <c r="PZH117" s="222"/>
      <c r="PZI117" s="222"/>
      <c r="PZJ117" s="222"/>
      <c r="PZK117" s="222"/>
      <c r="PZL117" s="222"/>
      <c r="PZM117" s="222"/>
      <c r="PZN117" s="222"/>
      <c r="PZO117" s="222"/>
      <c r="PZP117" s="222"/>
      <c r="PZQ117" s="222"/>
      <c r="PZR117" s="222"/>
      <c r="PZS117" s="222"/>
      <c r="PZT117" s="222"/>
      <c r="PZU117" s="222"/>
      <c r="PZV117" s="222"/>
      <c r="PZW117" s="222"/>
      <c r="PZX117" s="222"/>
      <c r="PZY117" s="222"/>
      <c r="PZZ117" s="222"/>
      <c r="QAA117" s="222"/>
      <c r="QAB117" s="222"/>
      <c r="QAC117" s="222"/>
      <c r="QAD117" s="222"/>
      <c r="QAE117" s="222"/>
      <c r="QAF117" s="222"/>
      <c r="QAG117" s="222"/>
      <c r="QAH117" s="222"/>
      <c r="QAI117" s="222"/>
      <c r="QAJ117" s="222"/>
      <c r="QAK117" s="222"/>
      <c r="QAL117" s="222"/>
      <c r="QAM117" s="222"/>
      <c r="QAN117" s="222"/>
      <c r="QAO117" s="222"/>
      <c r="QAP117" s="222"/>
      <c r="QAQ117" s="222"/>
      <c r="QAR117" s="222"/>
      <c r="QAS117" s="222"/>
      <c r="QAT117" s="222"/>
      <c r="QAU117" s="222"/>
      <c r="QAV117" s="222"/>
      <c r="QAW117" s="222"/>
      <c r="QAX117" s="222"/>
      <c r="QAY117" s="222"/>
      <c r="QAZ117" s="222"/>
      <c r="QBA117" s="222"/>
      <c r="QBB117" s="222"/>
      <c r="QBC117" s="222"/>
      <c r="QBD117" s="222"/>
      <c r="QBE117" s="222"/>
      <c r="QBF117" s="222"/>
      <c r="QBG117" s="222"/>
      <c r="QBH117" s="222"/>
      <c r="QBI117" s="222"/>
      <c r="QBJ117" s="222"/>
      <c r="QBK117" s="222"/>
      <c r="QBL117" s="222"/>
      <c r="QBM117" s="222"/>
      <c r="QBN117" s="222"/>
      <c r="QBO117" s="222"/>
      <c r="QBP117" s="222"/>
      <c r="QBQ117" s="222"/>
      <c r="QBR117" s="222"/>
      <c r="QBS117" s="222"/>
      <c r="QBT117" s="222"/>
      <c r="QBU117" s="222"/>
      <c r="QBV117" s="222"/>
      <c r="QBW117" s="222"/>
      <c r="QBX117" s="222"/>
      <c r="QBY117" s="222"/>
      <c r="QBZ117" s="222"/>
      <c r="QCA117" s="222"/>
      <c r="QCB117" s="222"/>
      <c r="QCC117" s="222"/>
      <c r="QCD117" s="222"/>
      <c r="QCE117" s="222"/>
      <c r="QCF117" s="222"/>
      <c r="QCG117" s="222"/>
      <c r="QCH117" s="222"/>
      <c r="QCI117" s="222"/>
      <c r="QCJ117" s="222"/>
      <c r="QCK117" s="222"/>
      <c r="QCL117" s="222"/>
      <c r="QCM117" s="222"/>
      <c r="QCN117" s="222"/>
      <c r="QCO117" s="222"/>
      <c r="QCP117" s="222"/>
      <c r="QCQ117" s="222"/>
      <c r="QCR117" s="222"/>
      <c r="QCS117" s="222"/>
      <c r="QCT117" s="222"/>
      <c r="QCU117" s="222"/>
      <c r="QCV117" s="222"/>
      <c r="QCW117" s="222"/>
      <c r="QCX117" s="222"/>
      <c r="QCY117" s="222"/>
      <c r="QCZ117" s="222"/>
      <c r="QDA117" s="222"/>
      <c r="QDB117" s="222"/>
      <c r="QDC117" s="222"/>
      <c r="QDD117" s="222"/>
      <c r="QDE117" s="222"/>
      <c r="QDF117" s="222"/>
      <c r="QDG117" s="222"/>
      <c r="QDH117" s="222"/>
      <c r="QDI117" s="222"/>
      <c r="QDJ117" s="222"/>
      <c r="QDK117" s="222"/>
      <c r="QDL117" s="222"/>
      <c r="QDM117" s="222"/>
      <c r="QDN117" s="222"/>
      <c r="QDO117" s="222"/>
      <c r="QDP117" s="222"/>
      <c r="QDQ117" s="222"/>
      <c r="QDR117" s="222"/>
      <c r="QDS117" s="222"/>
      <c r="QDT117" s="222"/>
      <c r="QDU117" s="222"/>
      <c r="QDV117" s="222"/>
      <c r="QDW117" s="222"/>
      <c r="QDX117" s="222"/>
      <c r="QDY117" s="222"/>
      <c r="QDZ117" s="222"/>
      <c r="QEA117" s="222"/>
      <c r="QEB117" s="222"/>
      <c r="QEC117" s="222"/>
      <c r="QED117" s="222"/>
      <c r="QEE117" s="222"/>
      <c r="QEF117" s="222"/>
      <c r="QEG117" s="222"/>
      <c r="QEH117" s="222"/>
      <c r="QEI117" s="222"/>
      <c r="QEJ117" s="222"/>
      <c r="QEK117" s="222"/>
      <c r="QEL117" s="222"/>
      <c r="QEM117" s="222"/>
      <c r="QEN117" s="222"/>
      <c r="QEO117" s="222"/>
      <c r="QEP117" s="222"/>
      <c r="QEQ117" s="222"/>
      <c r="QER117" s="222"/>
      <c r="QES117" s="222"/>
      <c r="QET117" s="222"/>
      <c r="QEU117" s="222"/>
      <c r="QEV117" s="222"/>
      <c r="QEW117" s="222"/>
      <c r="QEX117" s="222"/>
      <c r="QEY117" s="222"/>
      <c r="QEZ117" s="222"/>
      <c r="QFA117" s="222"/>
      <c r="QFB117" s="222"/>
      <c r="QFC117" s="222"/>
      <c r="QFD117" s="222"/>
      <c r="QFE117" s="222"/>
      <c r="QFF117" s="222"/>
      <c r="QFG117" s="222"/>
      <c r="QFH117" s="222"/>
      <c r="QFI117" s="222"/>
      <c r="QFJ117" s="222"/>
      <c r="QFK117" s="222"/>
      <c r="QFL117" s="222"/>
      <c r="QFM117" s="222"/>
      <c r="QFN117" s="222"/>
      <c r="QFO117" s="222"/>
      <c r="QFP117" s="222"/>
      <c r="QFQ117" s="222"/>
      <c r="QFR117" s="222"/>
      <c r="QFS117" s="222"/>
      <c r="QFT117" s="222"/>
      <c r="QFU117" s="222"/>
      <c r="QFV117" s="222"/>
      <c r="QFW117" s="222"/>
      <c r="QFX117" s="222"/>
      <c r="QFY117" s="222"/>
      <c r="QFZ117" s="222"/>
      <c r="QGA117" s="222"/>
      <c r="QGB117" s="222"/>
      <c r="QGC117" s="222"/>
      <c r="QGD117" s="222"/>
      <c r="QGE117" s="222"/>
      <c r="QGF117" s="222"/>
      <c r="QGG117" s="222"/>
      <c r="QGH117" s="222"/>
      <c r="QGI117" s="222"/>
      <c r="QGJ117" s="222"/>
      <c r="QGK117" s="222"/>
      <c r="QGL117" s="222"/>
      <c r="QGM117" s="222"/>
      <c r="QGN117" s="222"/>
      <c r="QGO117" s="222"/>
      <c r="QGP117" s="222"/>
      <c r="QGQ117" s="222"/>
      <c r="QGR117" s="222"/>
      <c r="QGS117" s="222"/>
      <c r="QGT117" s="222"/>
      <c r="QGU117" s="222"/>
      <c r="QGV117" s="222"/>
      <c r="QGW117" s="222"/>
      <c r="QGX117" s="222"/>
      <c r="QGY117" s="222"/>
      <c r="QGZ117" s="222"/>
      <c r="QHA117" s="222"/>
      <c r="QHB117" s="222"/>
      <c r="QHC117" s="222"/>
      <c r="QHD117" s="222"/>
      <c r="QHE117" s="222"/>
      <c r="QHF117" s="222"/>
      <c r="QHG117" s="222"/>
      <c r="QHH117" s="222"/>
      <c r="QHI117" s="222"/>
      <c r="QHJ117" s="222"/>
      <c r="QHK117" s="222"/>
      <c r="QHL117" s="222"/>
      <c r="QHM117" s="222"/>
      <c r="QHN117" s="222"/>
      <c r="QHO117" s="222"/>
      <c r="QHP117" s="222"/>
      <c r="QHQ117" s="222"/>
      <c r="QHR117" s="222"/>
      <c r="QHS117" s="222"/>
      <c r="QHT117" s="222"/>
      <c r="QHU117" s="222"/>
      <c r="QHV117" s="222"/>
      <c r="QHW117" s="222"/>
      <c r="QHX117" s="222"/>
      <c r="QHY117" s="222"/>
      <c r="QHZ117" s="222"/>
      <c r="QIA117" s="222"/>
      <c r="QIB117" s="222"/>
      <c r="QIC117" s="222"/>
      <c r="QID117" s="222"/>
      <c r="QIE117" s="222"/>
      <c r="QIF117" s="222"/>
      <c r="QIG117" s="222"/>
      <c r="QIH117" s="222"/>
      <c r="QII117" s="222"/>
      <c r="QIJ117" s="222"/>
      <c r="QIK117" s="222"/>
      <c r="QIL117" s="222"/>
      <c r="QIM117" s="222"/>
      <c r="QIN117" s="222"/>
      <c r="QIO117" s="222"/>
      <c r="QIP117" s="222"/>
      <c r="QIQ117" s="222"/>
      <c r="QIR117" s="222"/>
      <c r="QIS117" s="222"/>
      <c r="QIT117" s="222"/>
      <c r="QIU117" s="222"/>
      <c r="QIV117" s="222"/>
      <c r="QIW117" s="222"/>
      <c r="QIX117" s="222"/>
      <c r="QIY117" s="222"/>
      <c r="QIZ117" s="222"/>
      <c r="QJA117" s="222"/>
      <c r="QJB117" s="222"/>
      <c r="QJC117" s="222"/>
      <c r="QJD117" s="222"/>
      <c r="QJE117" s="222"/>
      <c r="QJF117" s="222"/>
      <c r="QJG117" s="222"/>
      <c r="QJH117" s="222"/>
      <c r="QJI117" s="222"/>
      <c r="QJJ117" s="222"/>
      <c r="QJK117" s="222"/>
      <c r="QJL117" s="222"/>
      <c r="QJM117" s="222"/>
      <c r="QJN117" s="222"/>
      <c r="QJO117" s="222"/>
      <c r="QJP117" s="222"/>
      <c r="QJQ117" s="222"/>
      <c r="QJR117" s="222"/>
      <c r="QJS117" s="222"/>
      <c r="QJT117" s="222"/>
      <c r="QJU117" s="222"/>
      <c r="QJV117" s="222"/>
      <c r="QJW117" s="222"/>
      <c r="QJX117" s="222"/>
      <c r="QJY117" s="222"/>
      <c r="QJZ117" s="222"/>
      <c r="QKA117" s="222"/>
      <c r="QKB117" s="222"/>
      <c r="QKC117" s="222"/>
      <c r="QKD117" s="222"/>
      <c r="QKE117" s="222"/>
      <c r="QKF117" s="222"/>
      <c r="QKG117" s="222"/>
      <c r="QKH117" s="222"/>
      <c r="QKI117" s="222"/>
      <c r="QKJ117" s="222"/>
      <c r="QKK117" s="222"/>
      <c r="QKL117" s="222"/>
      <c r="QKM117" s="222"/>
      <c r="QKN117" s="222"/>
      <c r="QKO117" s="222"/>
      <c r="QKP117" s="222"/>
      <c r="QKQ117" s="222"/>
      <c r="QKR117" s="222"/>
      <c r="QKS117" s="222"/>
      <c r="QKT117" s="222"/>
      <c r="QKU117" s="222"/>
      <c r="QKV117" s="222"/>
      <c r="QKW117" s="222"/>
      <c r="QKX117" s="222"/>
      <c r="QKY117" s="222"/>
      <c r="QKZ117" s="222"/>
      <c r="QLA117" s="222"/>
      <c r="QLB117" s="222"/>
      <c r="QLC117" s="222"/>
      <c r="QLD117" s="222"/>
      <c r="QLE117" s="222"/>
      <c r="QLF117" s="222"/>
      <c r="QLG117" s="222"/>
      <c r="QLH117" s="222"/>
      <c r="QLI117" s="222"/>
      <c r="QLJ117" s="222"/>
      <c r="QLK117" s="222"/>
      <c r="QLL117" s="222"/>
      <c r="QLM117" s="222"/>
      <c r="QLN117" s="222"/>
      <c r="QLO117" s="222"/>
      <c r="QLP117" s="222"/>
      <c r="QLQ117" s="222"/>
      <c r="QLR117" s="222"/>
      <c r="QLS117" s="222"/>
      <c r="QLT117" s="222"/>
      <c r="QLU117" s="222"/>
      <c r="QLV117" s="222"/>
      <c r="QLW117" s="222"/>
      <c r="QLX117" s="222"/>
      <c r="QLY117" s="222"/>
      <c r="QLZ117" s="222"/>
      <c r="QMA117" s="222"/>
      <c r="QMB117" s="222"/>
      <c r="QMC117" s="222"/>
      <c r="QMD117" s="222"/>
      <c r="QME117" s="222"/>
      <c r="QMF117" s="222"/>
      <c r="QMG117" s="222"/>
      <c r="QMH117" s="222"/>
      <c r="QMI117" s="222"/>
      <c r="QMJ117" s="222"/>
      <c r="QMK117" s="222"/>
      <c r="QML117" s="222"/>
      <c r="QMM117" s="222"/>
      <c r="QMN117" s="222"/>
      <c r="QMO117" s="222"/>
      <c r="QMP117" s="222"/>
      <c r="QMQ117" s="222"/>
      <c r="QMR117" s="222"/>
      <c r="QMS117" s="222"/>
      <c r="QMT117" s="222"/>
      <c r="QMU117" s="222"/>
      <c r="QMV117" s="222"/>
      <c r="QMW117" s="222"/>
      <c r="QMX117" s="222"/>
      <c r="QMY117" s="222"/>
      <c r="QMZ117" s="222"/>
      <c r="QNA117" s="222"/>
      <c r="QNB117" s="222"/>
      <c r="QNC117" s="222"/>
      <c r="QND117" s="222"/>
      <c r="QNE117" s="222"/>
      <c r="QNF117" s="222"/>
      <c r="QNG117" s="222"/>
      <c r="QNH117" s="222"/>
      <c r="QNI117" s="222"/>
      <c r="QNJ117" s="222"/>
      <c r="QNK117" s="222"/>
      <c r="QNL117" s="222"/>
      <c r="QNM117" s="222"/>
      <c r="QNN117" s="222"/>
      <c r="QNO117" s="222"/>
      <c r="QNP117" s="222"/>
      <c r="QNQ117" s="222"/>
      <c r="QNR117" s="222"/>
      <c r="QNS117" s="222"/>
      <c r="QNT117" s="222"/>
      <c r="QNU117" s="222"/>
      <c r="QNV117" s="222"/>
      <c r="QNW117" s="222"/>
      <c r="QNX117" s="222"/>
      <c r="QNY117" s="222"/>
      <c r="QNZ117" s="222"/>
      <c r="QOA117" s="222"/>
      <c r="QOB117" s="222"/>
      <c r="QOC117" s="222"/>
      <c r="QOD117" s="222"/>
      <c r="QOE117" s="222"/>
      <c r="QOF117" s="222"/>
      <c r="QOG117" s="222"/>
      <c r="QOH117" s="222"/>
      <c r="QOI117" s="222"/>
      <c r="QOJ117" s="222"/>
      <c r="QOK117" s="222"/>
      <c r="QOL117" s="222"/>
      <c r="QOM117" s="222"/>
      <c r="QON117" s="222"/>
      <c r="QOO117" s="222"/>
      <c r="QOP117" s="222"/>
      <c r="QOQ117" s="222"/>
      <c r="QOR117" s="222"/>
      <c r="QOS117" s="222"/>
      <c r="QOT117" s="222"/>
      <c r="QOU117" s="222"/>
      <c r="QOV117" s="222"/>
      <c r="QOW117" s="222"/>
      <c r="QOX117" s="222"/>
      <c r="QOY117" s="222"/>
      <c r="QOZ117" s="222"/>
      <c r="QPA117" s="222"/>
      <c r="QPB117" s="222"/>
      <c r="QPC117" s="222"/>
      <c r="QPD117" s="222"/>
      <c r="QPE117" s="222"/>
      <c r="QPF117" s="222"/>
      <c r="QPG117" s="222"/>
      <c r="QPH117" s="222"/>
      <c r="QPI117" s="222"/>
      <c r="QPJ117" s="222"/>
      <c r="QPK117" s="222"/>
      <c r="QPL117" s="222"/>
      <c r="QPM117" s="222"/>
      <c r="QPN117" s="222"/>
      <c r="QPO117" s="222"/>
      <c r="QPP117" s="222"/>
      <c r="QPQ117" s="222"/>
      <c r="QPR117" s="222"/>
      <c r="QPS117" s="222"/>
      <c r="QPT117" s="222"/>
      <c r="QPU117" s="222"/>
      <c r="QPV117" s="222"/>
      <c r="QPW117" s="222"/>
      <c r="QPX117" s="222"/>
      <c r="QPY117" s="222"/>
      <c r="QPZ117" s="222"/>
      <c r="QQA117" s="222"/>
      <c r="QQB117" s="222"/>
      <c r="QQC117" s="222"/>
      <c r="QQD117" s="222"/>
      <c r="QQE117" s="222"/>
      <c r="QQF117" s="222"/>
      <c r="QQG117" s="222"/>
      <c r="QQH117" s="222"/>
      <c r="QQI117" s="222"/>
      <c r="QQJ117" s="222"/>
      <c r="QQK117" s="222"/>
      <c r="QQL117" s="222"/>
      <c r="QQM117" s="222"/>
      <c r="QQN117" s="222"/>
      <c r="QQO117" s="222"/>
      <c r="QQP117" s="222"/>
      <c r="QQQ117" s="222"/>
      <c r="QQR117" s="222"/>
      <c r="QQS117" s="222"/>
      <c r="QQT117" s="222"/>
      <c r="QQU117" s="222"/>
      <c r="QQV117" s="222"/>
      <c r="QQW117" s="222"/>
      <c r="QQX117" s="222"/>
      <c r="QQY117" s="222"/>
      <c r="QQZ117" s="222"/>
      <c r="QRA117" s="222"/>
      <c r="QRB117" s="222"/>
      <c r="QRC117" s="222"/>
      <c r="QRD117" s="222"/>
      <c r="QRE117" s="222"/>
      <c r="QRF117" s="222"/>
      <c r="QRG117" s="222"/>
      <c r="QRH117" s="222"/>
      <c r="QRI117" s="222"/>
      <c r="QRJ117" s="222"/>
      <c r="QRK117" s="222"/>
      <c r="QRL117" s="222"/>
      <c r="QRM117" s="222"/>
      <c r="QRN117" s="222"/>
      <c r="QRO117" s="222"/>
      <c r="QRP117" s="222"/>
      <c r="QRQ117" s="222"/>
      <c r="QRR117" s="222"/>
      <c r="QRS117" s="222"/>
      <c r="QRT117" s="222"/>
      <c r="QRU117" s="222"/>
      <c r="QRV117" s="222"/>
      <c r="QRW117" s="222"/>
      <c r="QRX117" s="222"/>
      <c r="QRY117" s="222"/>
      <c r="QRZ117" s="222"/>
      <c r="QSA117" s="222"/>
      <c r="QSB117" s="222"/>
      <c r="QSC117" s="222"/>
      <c r="QSD117" s="222"/>
      <c r="QSE117" s="222"/>
      <c r="QSF117" s="222"/>
      <c r="QSG117" s="222"/>
      <c r="QSH117" s="222"/>
      <c r="QSI117" s="222"/>
      <c r="QSJ117" s="222"/>
      <c r="QSK117" s="222"/>
      <c r="QSL117" s="222"/>
      <c r="QSM117" s="222"/>
      <c r="QSN117" s="222"/>
      <c r="QSO117" s="222"/>
      <c r="QSP117" s="222"/>
      <c r="QSQ117" s="222"/>
      <c r="QSR117" s="222"/>
      <c r="QSS117" s="222"/>
      <c r="QST117" s="222"/>
      <c r="QSU117" s="222"/>
      <c r="QSV117" s="222"/>
      <c r="QSW117" s="222"/>
      <c r="QSX117" s="222"/>
      <c r="QSY117" s="222"/>
      <c r="QSZ117" s="222"/>
      <c r="QTA117" s="222"/>
      <c r="QTB117" s="222"/>
      <c r="QTC117" s="222"/>
      <c r="QTD117" s="222"/>
      <c r="QTE117" s="222"/>
      <c r="QTF117" s="222"/>
      <c r="QTG117" s="222"/>
      <c r="QTH117" s="222"/>
      <c r="QTI117" s="222"/>
      <c r="QTJ117" s="222"/>
      <c r="QTK117" s="222"/>
      <c r="QTL117" s="222"/>
      <c r="QTM117" s="222"/>
      <c r="QTN117" s="222"/>
      <c r="QTO117" s="222"/>
      <c r="QTP117" s="222"/>
      <c r="QTQ117" s="222"/>
      <c r="QTR117" s="222"/>
      <c r="QTS117" s="222"/>
      <c r="QTT117" s="222"/>
      <c r="QTU117" s="222"/>
      <c r="QTV117" s="222"/>
      <c r="QTW117" s="222"/>
      <c r="QTX117" s="222"/>
      <c r="QTY117" s="222"/>
      <c r="QTZ117" s="222"/>
      <c r="QUA117" s="222"/>
      <c r="QUB117" s="222"/>
      <c r="QUC117" s="222"/>
      <c r="QUD117" s="222"/>
      <c r="QUE117" s="222"/>
      <c r="QUF117" s="222"/>
      <c r="QUG117" s="222"/>
      <c r="QUH117" s="222"/>
      <c r="QUI117" s="222"/>
      <c r="QUJ117" s="222"/>
      <c r="QUK117" s="222"/>
      <c r="QUL117" s="222"/>
      <c r="QUM117" s="222"/>
      <c r="QUN117" s="222"/>
      <c r="QUO117" s="222"/>
      <c r="QUP117" s="222"/>
      <c r="QUQ117" s="222"/>
      <c r="QUR117" s="222"/>
      <c r="QUS117" s="222"/>
      <c r="QUT117" s="222"/>
      <c r="QUU117" s="222"/>
      <c r="QUV117" s="222"/>
      <c r="QUW117" s="222"/>
      <c r="QUX117" s="222"/>
      <c r="QUY117" s="222"/>
      <c r="QUZ117" s="222"/>
      <c r="QVA117" s="222"/>
      <c r="QVB117" s="222"/>
      <c r="QVC117" s="222"/>
      <c r="QVD117" s="222"/>
      <c r="QVE117" s="222"/>
      <c r="QVF117" s="222"/>
      <c r="QVG117" s="222"/>
      <c r="QVH117" s="222"/>
      <c r="QVI117" s="222"/>
      <c r="QVJ117" s="222"/>
      <c r="QVK117" s="222"/>
      <c r="QVL117" s="222"/>
      <c r="QVM117" s="222"/>
      <c r="QVN117" s="222"/>
      <c r="QVO117" s="222"/>
      <c r="QVP117" s="222"/>
      <c r="QVQ117" s="222"/>
      <c r="QVR117" s="222"/>
      <c r="QVS117" s="222"/>
      <c r="QVT117" s="222"/>
      <c r="QVU117" s="222"/>
      <c r="QVV117" s="222"/>
      <c r="QVW117" s="222"/>
      <c r="QVX117" s="222"/>
      <c r="QVY117" s="222"/>
      <c r="QVZ117" s="222"/>
      <c r="QWA117" s="222"/>
      <c r="QWB117" s="222"/>
      <c r="QWC117" s="222"/>
      <c r="QWD117" s="222"/>
      <c r="QWE117" s="222"/>
      <c r="QWF117" s="222"/>
      <c r="QWG117" s="222"/>
      <c r="QWH117" s="222"/>
      <c r="QWI117" s="222"/>
      <c r="QWJ117" s="222"/>
      <c r="QWK117" s="222"/>
      <c r="QWL117" s="222"/>
      <c r="QWM117" s="222"/>
      <c r="QWN117" s="222"/>
      <c r="QWO117" s="222"/>
      <c r="QWP117" s="222"/>
      <c r="QWQ117" s="222"/>
      <c r="QWR117" s="222"/>
      <c r="QWS117" s="222"/>
      <c r="QWT117" s="222"/>
      <c r="QWU117" s="222"/>
      <c r="QWV117" s="222"/>
      <c r="QWW117" s="222"/>
      <c r="QWX117" s="222"/>
      <c r="QWY117" s="222"/>
      <c r="QWZ117" s="222"/>
      <c r="QXA117" s="222"/>
      <c r="QXB117" s="222"/>
      <c r="QXC117" s="222"/>
      <c r="QXD117" s="222"/>
      <c r="QXE117" s="222"/>
      <c r="QXF117" s="222"/>
      <c r="QXG117" s="222"/>
      <c r="QXH117" s="222"/>
      <c r="QXI117" s="222"/>
      <c r="QXJ117" s="222"/>
      <c r="QXK117" s="222"/>
      <c r="QXL117" s="222"/>
      <c r="QXM117" s="222"/>
      <c r="QXN117" s="222"/>
      <c r="QXO117" s="222"/>
      <c r="QXP117" s="222"/>
      <c r="QXQ117" s="222"/>
      <c r="QXR117" s="222"/>
      <c r="QXS117" s="222"/>
      <c r="QXT117" s="222"/>
      <c r="QXU117" s="222"/>
      <c r="QXV117" s="222"/>
      <c r="QXW117" s="222"/>
      <c r="QXX117" s="222"/>
      <c r="QXY117" s="222"/>
      <c r="QXZ117" s="222"/>
      <c r="QYA117" s="222"/>
      <c r="QYB117" s="222"/>
      <c r="QYC117" s="222"/>
      <c r="QYD117" s="222"/>
      <c r="QYE117" s="222"/>
      <c r="QYF117" s="222"/>
      <c r="QYG117" s="222"/>
      <c r="QYH117" s="222"/>
      <c r="QYI117" s="222"/>
      <c r="QYJ117" s="222"/>
      <c r="QYK117" s="222"/>
      <c r="QYL117" s="222"/>
      <c r="QYM117" s="222"/>
      <c r="QYN117" s="222"/>
      <c r="QYO117" s="222"/>
      <c r="QYP117" s="222"/>
      <c r="QYQ117" s="222"/>
      <c r="QYR117" s="222"/>
      <c r="QYS117" s="222"/>
      <c r="QYT117" s="222"/>
      <c r="QYU117" s="222"/>
      <c r="QYV117" s="222"/>
      <c r="QYW117" s="222"/>
      <c r="QYX117" s="222"/>
      <c r="QYY117" s="222"/>
      <c r="QYZ117" s="222"/>
      <c r="QZA117" s="222"/>
      <c r="QZB117" s="222"/>
      <c r="QZC117" s="222"/>
      <c r="QZD117" s="222"/>
      <c r="QZE117" s="222"/>
      <c r="QZF117" s="222"/>
      <c r="QZG117" s="222"/>
      <c r="QZH117" s="222"/>
      <c r="QZI117" s="222"/>
      <c r="QZJ117" s="222"/>
      <c r="QZK117" s="222"/>
      <c r="QZL117" s="222"/>
      <c r="QZM117" s="222"/>
      <c r="QZN117" s="222"/>
      <c r="QZO117" s="222"/>
      <c r="QZP117" s="222"/>
      <c r="QZQ117" s="222"/>
      <c r="QZR117" s="222"/>
      <c r="QZS117" s="222"/>
      <c r="QZT117" s="222"/>
      <c r="QZU117" s="222"/>
      <c r="QZV117" s="222"/>
      <c r="QZW117" s="222"/>
      <c r="QZX117" s="222"/>
      <c r="QZY117" s="222"/>
      <c r="QZZ117" s="222"/>
      <c r="RAA117" s="222"/>
      <c r="RAB117" s="222"/>
      <c r="RAC117" s="222"/>
      <c r="RAD117" s="222"/>
      <c r="RAE117" s="222"/>
      <c r="RAF117" s="222"/>
      <c r="RAG117" s="222"/>
      <c r="RAH117" s="222"/>
      <c r="RAI117" s="222"/>
      <c r="RAJ117" s="222"/>
      <c r="RAK117" s="222"/>
      <c r="RAL117" s="222"/>
      <c r="RAM117" s="222"/>
      <c r="RAN117" s="222"/>
      <c r="RAO117" s="222"/>
      <c r="RAP117" s="222"/>
      <c r="RAQ117" s="222"/>
      <c r="RAR117" s="222"/>
      <c r="RAS117" s="222"/>
      <c r="RAT117" s="222"/>
      <c r="RAU117" s="222"/>
      <c r="RAV117" s="222"/>
      <c r="RAW117" s="222"/>
      <c r="RAX117" s="222"/>
      <c r="RAY117" s="222"/>
      <c r="RAZ117" s="222"/>
      <c r="RBA117" s="222"/>
      <c r="RBB117" s="222"/>
      <c r="RBC117" s="222"/>
      <c r="RBD117" s="222"/>
      <c r="RBE117" s="222"/>
      <c r="RBF117" s="222"/>
      <c r="RBG117" s="222"/>
      <c r="RBH117" s="222"/>
      <c r="RBI117" s="222"/>
      <c r="RBJ117" s="222"/>
      <c r="RBK117" s="222"/>
      <c r="RBL117" s="222"/>
      <c r="RBM117" s="222"/>
      <c r="RBN117" s="222"/>
      <c r="RBO117" s="222"/>
      <c r="RBP117" s="222"/>
      <c r="RBQ117" s="222"/>
      <c r="RBR117" s="222"/>
      <c r="RBS117" s="222"/>
      <c r="RBT117" s="222"/>
      <c r="RBU117" s="222"/>
      <c r="RBV117" s="222"/>
      <c r="RBW117" s="222"/>
      <c r="RBX117" s="222"/>
      <c r="RBY117" s="222"/>
      <c r="RBZ117" s="222"/>
      <c r="RCA117" s="222"/>
      <c r="RCB117" s="222"/>
      <c r="RCC117" s="222"/>
      <c r="RCD117" s="222"/>
      <c r="RCE117" s="222"/>
      <c r="RCF117" s="222"/>
      <c r="RCG117" s="222"/>
      <c r="RCH117" s="222"/>
      <c r="RCI117" s="222"/>
      <c r="RCJ117" s="222"/>
      <c r="RCK117" s="222"/>
      <c r="RCL117" s="222"/>
      <c r="RCM117" s="222"/>
      <c r="RCN117" s="222"/>
      <c r="RCO117" s="222"/>
      <c r="RCP117" s="222"/>
      <c r="RCQ117" s="222"/>
      <c r="RCR117" s="222"/>
      <c r="RCS117" s="222"/>
      <c r="RCT117" s="222"/>
      <c r="RCU117" s="222"/>
      <c r="RCV117" s="222"/>
      <c r="RCW117" s="222"/>
      <c r="RCX117" s="222"/>
      <c r="RCY117" s="222"/>
      <c r="RCZ117" s="222"/>
      <c r="RDA117" s="222"/>
      <c r="RDB117" s="222"/>
      <c r="RDC117" s="222"/>
      <c r="RDD117" s="222"/>
      <c r="RDE117" s="222"/>
      <c r="RDF117" s="222"/>
      <c r="RDG117" s="222"/>
      <c r="RDH117" s="222"/>
      <c r="RDI117" s="222"/>
      <c r="RDJ117" s="222"/>
      <c r="RDK117" s="222"/>
      <c r="RDL117" s="222"/>
      <c r="RDM117" s="222"/>
      <c r="RDN117" s="222"/>
      <c r="RDO117" s="222"/>
      <c r="RDP117" s="222"/>
      <c r="RDQ117" s="222"/>
      <c r="RDR117" s="222"/>
      <c r="RDS117" s="222"/>
      <c r="RDT117" s="222"/>
      <c r="RDU117" s="222"/>
      <c r="RDV117" s="222"/>
      <c r="RDW117" s="222"/>
      <c r="RDX117" s="222"/>
      <c r="RDY117" s="222"/>
      <c r="RDZ117" s="222"/>
      <c r="REA117" s="222"/>
      <c r="REB117" s="222"/>
      <c r="REC117" s="222"/>
      <c r="RED117" s="222"/>
      <c r="REE117" s="222"/>
      <c r="REF117" s="222"/>
      <c r="REG117" s="222"/>
      <c r="REH117" s="222"/>
      <c r="REI117" s="222"/>
      <c r="REJ117" s="222"/>
      <c r="REK117" s="222"/>
      <c r="REL117" s="222"/>
      <c r="REM117" s="222"/>
      <c r="REN117" s="222"/>
      <c r="REO117" s="222"/>
      <c r="REP117" s="222"/>
      <c r="REQ117" s="222"/>
      <c r="RER117" s="222"/>
      <c r="RES117" s="222"/>
      <c r="RET117" s="222"/>
      <c r="REU117" s="222"/>
      <c r="REV117" s="222"/>
      <c r="REW117" s="222"/>
      <c r="REX117" s="222"/>
      <c r="REY117" s="222"/>
      <c r="REZ117" s="222"/>
      <c r="RFA117" s="222"/>
      <c r="RFB117" s="222"/>
      <c r="RFC117" s="222"/>
      <c r="RFD117" s="222"/>
      <c r="RFE117" s="222"/>
      <c r="RFF117" s="222"/>
      <c r="RFG117" s="222"/>
      <c r="RFH117" s="222"/>
      <c r="RFI117" s="222"/>
      <c r="RFJ117" s="222"/>
      <c r="RFK117" s="222"/>
      <c r="RFL117" s="222"/>
      <c r="RFM117" s="222"/>
      <c r="RFN117" s="222"/>
      <c r="RFO117" s="222"/>
      <c r="RFP117" s="222"/>
      <c r="RFQ117" s="222"/>
      <c r="RFR117" s="222"/>
      <c r="RFS117" s="222"/>
      <c r="RFT117" s="222"/>
      <c r="RFU117" s="222"/>
      <c r="RFV117" s="222"/>
      <c r="RFW117" s="222"/>
      <c r="RFX117" s="222"/>
      <c r="RFY117" s="222"/>
      <c r="RFZ117" s="222"/>
      <c r="RGA117" s="222"/>
      <c r="RGB117" s="222"/>
      <c r="RGC117" s="222"/>
      <c r="RGD117" s="222"/>
      <c r="RGE117" s="222"/>
      <c r="RGF117" s="222"/>
      <c r="RGG117" s="222"/>
      <c r="RGH117" s="222"/>
      <c r="RGI117" s="222"/>
      <c r="RGJ117" s="222"/>
      <c r="RGK117" s="222"/>
      <c r="RGL117" s="222"/>
      <c r="RGM117" s="222"/>
      <c r="RGN117" s="222"/>
      <c r="RGO117" s="222"/>
      <c r="RGP117" s="222"/>
      <c r="RGQ117" s="222"/>
      <c r="RGR117" s="222"/>
      <c r="RGS117" s="222"/>
      <c r="RGT117" s="222"/>
      <c r="RGU117" s="222"/>
      <c r="RGV117" s="222"/>
      <c r="RGW117" s="222"/>
      <c r="RGX117" s="222"/>
      <c r="RGY117" s="222"/>
      <c r="RGZ117" s="222"/>
      <c r="RHA117" s="222"/>
      <c r="RHB117" s="222"/>
      <c r="RHC117" s="222"/>
      <c r="RHD117" s="222"/>
      <c r="RHE117" s="222"/>
      <c r="RHF117" s="222"/>
      <c r="RHG117" s="222"/>
      <c r="RHH117" s="222"/>
      <c r="RHI117" s="222"/>
      <c r="RHJ117" s="222"/>
      <c r="RHK117" s="222"/>
      <c r="RHL117" s="222"/>
      <c r="RHM117" s="222"/>
      <c r="RHN117" s="222"/>
      <c r="RHO117" s="222"/>
      <c r="RHP117" s="222"/>
      <c r="RHQ117" s="222"/>
      <c r="RHR117" s="222"/>
      <c r="RHS117" s="222"/>
      <c r="RHT117" s="222"/>
      <c r="RHU117" s="222"/>
      <c r="RHV117" s="222"/>
      <c r="RHW117" s="222"/>
      <c r="RHX117" s="222"/>
      <c r="RHY117" s="222"/>
      <c r="RHZ117" s="222"/>
      <c r="RIA117" s="222"/>
      <c r="RIB117" s="222"/>
      <c r="RIC117" s="222"/>
      <c r="RID117" s="222"/>
      <c r="RIE117" s="222"/>
      <c r="RIF117" s="222"/>
      <c r="RIG117" s="222"/>
      <c r="RIH117" s="222"/>
      <c r="RII117" s="222"/>
      <c r="RIJ117" s="222"/>
      <c r="RIK117" s="222"/>
      <c r="RIL117" s="222"/>
      <c r="RIM117" s="222"/>
      <c r="RIN117" s="222"/>
      <c r="RIO117" s="222"/>
      <c r="RIP117" s="222"/>
      <c r="RIQ117" s="222"/>
      <c r="RIR117" s="222"/>
      <c r="RIS117" s="222"/>
      <c r="RIT117" s="222"/>
      <c r="RIU117" s="222"/>
      <c r="RIV117" s="222"/>
      <c r="RIW117" s="222"/>
      <c r="RIX117" s="222"/>
      <c r="RIY117" s="222"/>
      <c r="RIZ117" s="222"/>
      <c r="RJA117" s="222"/>
      <c r="RJB117" s="222"/>
      <c r="RJC117" s="222"/>
      <c r="RJD117" s="222"/>
      <c r="RJE117" s="222"/>
      <c r="RJF117" s="222"/>
      <c r="RJG117" s="222"/>
      <c r="RJH117" s="222"/>
      <c r="RJI117" s="222"/>
      <c r="RJJ117" s="222"/>
      <c r="RJK117" s="222"/>
      <c r="RJL117" s="222"/>
      <c r="RJM117" s="222"/>
      <c r="RJN117" s="222"/>
      <c r="RJO117" s="222"/>
      <c r="RJP117" s="222"/>
      <c r="RJQ117" s="222"/>
      <c r="RJR117" s="222"/>
      <c r="RJS117" s="222"/>
      <c r="RJT117" s="222"/>
      <c r="RJU117" s="222"/>
      <c r="RJV117" s="222"/>
      <c r="RJW117" s="222"/>
      <c r="RJX117" s="222"/>
      <c r="RJY117" s="222"/>
      <c r="RJZ117" s="222"/>
      <c r="RKA117" s="222"/>
      <c r="RKB117" s="222"/>
      <c r="RKC117" s="222"/>
      <c r="RKD117" s="222"/>
      <c r="RKE117" s="222"/>
      <c r="RKF117" s="222"/>
      <c r="RKG117" s="222"/>
      <c r="RKH117" s="222"/>
      <c r="RKI117" s="222"/>
      <c r="RKJ117" s="222"/>
      <c r="RKK117" s="222"/>
      <c r="RKL117" s="222"/>
      <c r="RKM117" s="222"/>
      <c r="RKN117" s="222"/>
      <c r="RKO117" s="222"/>
      <c r="RKP117" s="222"/>
      <c r="RKQ117" s="222"/>
      <c r="RKR117" s="222"/>
      <c r="RKS117" s="222"/>
      <c r="RKT117" s="222"/>
      <c r="RKU117" s="222"/>
      <c r="RKV117" s="222"/>
      <c r="RKW117" s="222"/>
      <c r="RKX117" s="222"/>
      <c r="RKY117" s="222"/>
      <c r="RKZ117" s="222"/>
      <c r="RLA117" s="222"/>
      <c r="RLB117" s="222"/>
      <c r="RLC117" s="222"/>
      <c r="RLD117" s="222"/>
      <c r="RLE117" s="222"/>
      <c r="RLF117" s="222"/>
      <c r="RLG117" s="222"/>
      <c r="RLH117" s="222"/>
      <c r="RLI117" s="222"/>
      <c r="RLJ117" s="222"/>
      <c r="RLK117" s="222"/>
      <c r="RLL117" s="222"/>
      <c r="RLM117" s="222"/>
      <c r="RLN117" s="222"/>
      <c r="RLO117" s="222"/>
      <c r="RLP117" s="222"/>
      <c r="RLQ117" s="222"/>
      <c r="RLR117" s="222"/>
      <c r="RLS117" s="222"/>
      <c r="RLT117" s="222"/>
      <c r="RLU117" s="222"/>
      <c r="RLV117" s="222"/>
      <c r="RLW117" s="222"/>
      <c r="RLX117" s="222"/>
      <c r="RLY117" s="222"/>
      <c r="RLZ117" s="222"/>
      <c r="RMA117" s="222"/>
      <c r="RMB117" s="222"/>
      <c r="RMC117" s="222"/>
      <c r="RMD117" s="222"/>
      <c r="RME117" s="222"/>
      <c r="RMF117" s="222"/>
      <c r="RMG117" s="222"/>
      <c r="RMH117" s="222"/>
      <c r="RMI117" s="222"/>
      <c r="RMJ117" s="222"/>
      <c r="RMK117" s="222"/>
      <c r="RML117" s="222"/>
      <c r="RMM117" s="222"/>
      <c r="RMN117" s="222"/>
      <c r="RMO117" s="222"/>
      <c r="RMP117" s="222"/>
      <c r="RMQ117" s="222"/>
      <c r="RMR117" s="222"/>
      <c r="RMS117" s="222"/>
      <c r="RMT117" s="222"/>
      <c r="RMU117" s="222"/>
      <c r="RMV117" s="222"/>
      <c r="RMW117" s="222"/>
      <c r="RMX117" s="222"/>
      <c r="RMY117" s="222"/>
      <c r="RMZ117" s="222"/>
      <c r="RNA117" s="222"/>
      <c r="RNB117" s="222"/>
      <c r="RNC117" s="222"/>
      <c r="RND117" s="222"/>
      <c r="RNE117" s="222"/>
      <c r="RNF117" s="222"/>
      <c r="RNG117" s="222"/>
      <c r="RNH117" s="222"/>
      <c r="RNI117" s="222"/>
      <c r="RNJ117" s="222"/>
      <c r="RNK117" s="222"/>
      <c r="RNL117" s="222"/>
      <c r="RNM117" s="222"/>
      <c r="RNN117" s="222"/>
      <c r="RNO117" s="222"/>
      <c r="RNP117" s="222"/>
      <c r="RNQ117" s="222"/>
      <c r="RNR117" s="222"/>
      <c r="RNS117" s="222"/>
      <c r="RNT117" s="222"/>
      <c r="RNU117" s="222"/>
      <c r="RNV117" s="222"/>
      <c r="RNW117" s="222"/>
      <c r="RNX117" s="222"/>
      <c r="RNY117" s="222"/>
      <c r="RNZ117" s="222"/>
      <c r="ROA117" s="222"/>
      <c r="ROB117" s="222"/>
      <c r="ROC117" s="222"/>
      <c r="ROD117" s="222"/>
      <c r="ROE117" s="222"/>
      <c r="ROF117" s="222"/>
      <c r="ROG117" s="222"/>
      <c r="ROH117" s="222"/>
      <c r="ROI117" s="222"/>
      <c r="ROJ117" s="222"/>
      <c r="ROK117" s="222"/>
      <c r="ROL117" s="222"/>
      <c r="ROM117" s="222"/>
      <c r="RON117" s="222"/>
      <c r="ROO117" s="222"/>
      <c r="ROP117" s="222"/>
      <c r="ROQ117" s="222"/>
      <c r="ROR117" s="222"/>
      <c r="ROS117" s="222"/>
      <c r="ROT117" s="222"/>
      <c r="ROU117" s="222"/>
      <c r="ROV117" s="222"/>
      <c r="ROW117" s="222"/>
      <c r="ROX117" s="222"/>
      <c r="ROY117" s="222"/>
      <c r="ROZ117" s="222"/>
      <c r="RPA117" s="222"/>
      <c r="RPB117" s="222"/>
      <c r="RPC117" s="222"/>
      <c r="RPD117" s="222"/>
      <c r="RPE117" s="222"/>
      <c r="RPF117" s="222"/>
      <c r="RPG117" s="222"/>
      <c r="RPH117" s="222"/>
      <c r="RPI117" s="222"/>
      <c r="RPJ117" s="222"/>
      <c r="RPK117" s="222"/>
      <c r="RPL117" s="222"/>
      <c r="RPM117" s="222"/>
      <c r="RPN117" s="222"/>
      <c r="RPO117" s="222"/>
      <c r="RPP117" s="222"/>
      <c r="RPQ117" s="222"/>
      <c r="RPR117" s="222"/>
      <c r="RPS117" s="222"/>
      <c r="RPT117" s="222"/>
      <c r="RPU117" s="222"/>
      <c r="RPV117" s="222"/>
      <c r="RPW117" s="222"/>
      <c r="RPX117" s="222"/>
      <c r="RPY117" s="222"/>
      <c r="RPZ117" s="222"/>
      <c r="RQA117" s="222"/>
      <c r="RQB117" s="222"/>
      <c r="RQC117" s="222"/>
      <c r="RQD117" s="222"/>
      <c r="RQE117" s="222"/>
      <c r="RQF117" s="222"/>
      <c r="RQG117" s="222"/>
      <c r="RQH117" s="222"/>
      <c r="RQI117" s="222"/>
      <c r="RQJ117" s="222"/>
      <c r="RQK117" s="222"/>
      <c r="RQL117" s="222"/>
      <c r="RQM117" s="222"/>
      <c r="RQN117" s="222"/>
      <c r="RQO117" s="222"/>
      <c r="RQP117" s="222"/>
      <c r="RQQ117" s="222"/>
      <c r="RQR117" s="222"/>
      <c r="RQS117" s="222"/>
      <c r="RQT117" s="222"/>
      <c r="RQU117" s="222"/>
      <c r="RQV117" s="222"/>
      <c r="RQW117" s="222"/>
      <c r="RQX117" s="222"/>
      <c r="RQY117" s="222"/>
      <c r="RQZ117" s="222"/>
      <c r="RRA117" s="222"/>
      <c r="RRB117" s="222"/>
      <c r="RRC117" s="222"/>
      <c r="RRD117" s="222"/>
      <c r="RRE117" s="222"/>
      <c r="RRF117" s="222"/>
      <c r="RRG117" s="222"/>
      <c r="RRH117" s="222"/>
      <c r="RRI117" s="222"/>
      <c r="RRJ117" s="222"/>
      <c r="RRK117" s="222"/>
      <c r="RRL117" s="222"/>
      <c r="RRM117" s="222"/>
      <c r="RRN117" s="222"/>
      <c r="RRO117" s="222"/>
      <c r="RRP117" s="222"/>
      <c r="RRQ117" s="222"/>
      <c r="RRR117" s="222"/>
      <c r="RRS117" s="222"/>
      <c r="RRT117" s="222"/>
      <c r="RRU117" s="222"/>
      <c r="RRV117" s="222"/>
      <c r="RRW117" s="222"/>
      <c r="RRX117" s="222"/>
      <c r="RRY117" s="222"/>
      <c r="RRZ117" s="222"/>
      <c r="RSA117" s="222"/>
      <c r="RSB117" s="222"/>
      <c r="RSC117" s="222"/>
      <c r="RSD117" s="222"/>
      <c r="RSE117" s="222"/>
      <c r="RSF117" s="222"/>
      <c r="RSG117" s="222"/>
      <c r="RSH117" s="222"/>
      <c r="RSI117" s="222"/>
      <c r="RSJ117" s="222"/>
      <c r="RSK117" s="222"/>
      <c r="RSL117" s="222"/>
      <c r="RSM117" s="222"/>
      <c r="RSN117" s="222"/>
      <c r="RSO117" s="222"/>
      <c r="RSP117" s="222"/>
      <c r="RSQ117" s="222"/>
      <c r="RSR117" s="222"/>
      <c r="RSS117" s="222"/>
      <c r="RST117" s="222"/>
      <c r="RSU117" s="222"/>
      <c r="RSV117" s="222"/>
      <c r="RSW117" s="222"/>
      <c r="RSX117" s="222"/>
      <c r="RSY117" s="222"/>
      <c r="RSZ117" s="222"/>
      <c r="RTA117" s="222"/>
      <c r="RTB117" s="222"/>
      <c r="RTC117" s="222"/>
      <c r="RTD117" s="222"/>
      <c r="RTE117" s="222"/>
      <c r="RTF117" s="222"/>
      <c r="RTG117" s="222"/>
      <c r="RTH117" s="222"/>
      <c r="RTI117" s="222"/>
      <c r="RTJ117" s="222"/>
      <c r="RTK117" s="222"/>
      <c r="RTL117" s="222"/>
      <c r="RTM117" s="222"/>
      <c r="RTN117" s="222"/>
      <c r="RTO117" s="222"/>
      <c r="RTP117" s="222"/>
      <c r="RTQ117" s="222"/>
      <c r="RTR117" s="222"/>
      <c r="RTS117" s="222"/>
      <c r="RTT117" s="222"/>
      <c r="RTU117" s="222"/>
      <c r="RTV117" s="222"/>
      <c r="RTW117" s="222"/>
      <c r="RTX117" s="222"/>
      <c r="RTY117" s="222"/>
      <c r="RTZ117" s="222"/>
      <c r="RUA117" s="222"/>
      <c r="RUB117" s="222"/>
      <c r="RUC117" s="222"/>
      <c r="RUD117" s="222"/>
      <c r="RUE117" s="222"/>
      <c r="RUF117" s="222"/>
      <c r="RUG117" s="222"/>
      <c r="RUH117" s="222"/>
      <c r="RUI117" s="222"/>
      <c r="RUJ117" s="222"/>
      <c r="RUK117" s="222"/>
      <c r="RUL117" s="222"/>
      <c r="RUM117" s="222"/>
      <c r="RUN117" s="222"/>
      <c r="RUO117" s="222"/>
      <c r="RUP117" s="222"/>
      <c r="RUQ117" s="222"/>
      <c r="RUR117" s="222"/>
      <c r="RUS117" s="222"/>
      <c r="RUT117" s="222"/>
      <c r="RUU117" s="222"/>
      <c r="RUV117" s="222"/>
      <c r="RUW117" s="222"/>
      <c r="RUX117" s="222"/>
      <c r="RUY117" s="222"/>
      <c r="RUZ117" s="222"/>
      <c r="RVA117" s="222"/>
      <c r="RVB117" s="222"/>
      <c r="RVC117" s="222"/>
      <c r="RVD117" s="222"/>
      <c r="RVE117" s="222"/>
      <c r="RVF117" s="222"/>
      <c r="RVG117" s="222"/>
      <c r="RVH117" s="222"/>
      <c r="RVI117" s="222"/>
      <c r="RVJ117" s="222"/>
      <c r="RVK117" s="222"/>
      <c r="RVL117" s="222"/>
      <c r="RVM117" s="222"/>
      <c r="RVN117" s="222"/>
      <c r="RVO117" s="222"/>
      <c r="RVP117" s="222"/>
      <c r="RVQ117" s="222"/>
      <c r="RVR117" s="222"/>
      <c r="RVS117" s="222"/>
      <c r="RVT117" s="222"/>
      <c r="RVU117" s="222"/>
      <c r="RVV117" s="222"/>
      <c r="RVW117" s="222"/>
      <c r="RVX117" s="222"/>
      <c r="RVY117" s="222"/>
      <c r="RVZ117" s="222"/>
      <c r="RWA117" s="222"/>
      <c r="RWB117" s="222"/>
      <c r="RWC117" s="222"/>
      <c r="RWD117" s="222"/>
      <c r="RWE117" s="222"/>
      <c r="RWF117" s="222"/>
      <c r="RWG117" s="222"/>
      <c r="RWH117" s="222"/>
      <c r="RWI117" s="222"/>
      <c r="RWJ117" s="222"/>
      <c r="RWK117" s="222"/>
      <c r="RWL117" s="222"/>
      <c r="RWM117" s="222"/>
      <c r="RWN117" s="222"/>
      <c r="RWO117" s="222"/>
      <c r="RWP117" s="222"/>
      <c r="RWQ117" s="222"/>
      <c r="RWR117" s="222"/>
      <c r="RWS117" s="222"/>
      <c r="RWT117" s="222"/>
      <c r="RWU117" s="222"/>
      <c r="RWV117" s="222"/>
      <c r="RWW117" s="222"/>
      <c r="RWX117" s="222"/>
      <c r="RWY117" s="222"/>
      <c r="RWZ117" s="222"/>
      <c r="RXA117" s="222"/>
      <c r="RXB117" s="222"/>
      <c r="RXC117" s="222"/>
      <c r="RXD117" s="222"/>
      <c r="RXE117" s="222"/>
      <c r="RXF117" s="222"/>
      <c r="RXG117" s="222"/>
      <c r="RXH117" s="222"/>
      <c r="RXI117" s="222"/>
      <c r="RXJ117" s="222"/>
      <c r="RXK117" s="222"/>
      <c r="RXL117" s="222"/>
      <c r="RXM117" s="222"/>
      <c r="RXN117" s="222"/>
      <c r="RXO117" s="222"/>
      <c r="RXP117" s="222"/>
      <c r="RXQ117" s="222"/>
      <c r="RXR117" s="222"/>
      <c r="RXS117" s="222"/>
      <c r="RXT117" s="222"/>
      <c r="RXU117" s="222"/>
      <c r="RXV117" s="222"/>
      <c r="RXW117" s="222"/>
      <c r="RXX117" s="222"/>
      <c r="RXY117" s="222"/>
      <c r="RXZ117" s="222"/>
      <c r="RYA117" s="222"/>
      <c r="RYB117" s="222"/>
      <c r="RYC117" s="222"/>
      <c r="RYD117" s="222"/>
      <c r="RYE117" s="222"/>
      <c r="RYF117" s="222"/>
      <c r="RYG117" s="222"/>
      <c r="RYH117" s="222"/>
      <c r="RYI117" s="222"/>
      <c r="RYJ117" s="222"/>
      <c r="RYK117" s="222"/>
      <c r="RYL117" s="222"/>
      <c r="RYM117" s="222"/>
      <c r="RYN117" s="222"/>
      <c r="RYO117" s="222"/>
      <c r="RYP117" s="222"/>
      <c r="RYQ117" s="222"/>
      <c r="RYR117" s="222"/>
      <c r="RYS117" s="222"/>
      <c r="RYT117" s="222"/>
      <c r="RYU117" s="222"/>
      <c r="RYV117" s="222"/>
      <c r="RYW117" s="222"/>
      <c r="RYX117" s="222"/>
      <c r="RYY117" s="222"/>
      <c r="RYZ117" s="222"/>
      <c r="RZA117" s="222"/>
      <c r="RZB117" s="222"/>
      <c r="RZC117" s="222"/>
      <c r="RZD117" s="222"/>
      <c r="RZE117" s="222"/>
      <c r="RZF117" s="222"/>
      <c r="RZG117" s="222"/>
      <c r="RZH117" s="222"/>
      <c r="RZI117" s="222"/>
      <c r="RZJ117" s="222"/>
      <c r="RZK117" s="222"/>
      <c r="RZL117" s="222"/>
      <c r="RZM117" s="222"/>
      <c r="RZN117" s="222"/>
      <c r="RZO117" s="222"/>
      <c r="RZP117" s="222"/>
      <c r="RZQ117" s="222"/>
      <c r="RZR117" s="222"/>
      <c r="RZS117" s="222"/>
      <c r="RZT117" s="222"/>
      <c r="RZU117" s="222"/>
      <c r="RZV117" s="222"/>
      <c r="RZW117" s="222"/>
      <c r="RZX117" s="222"/>
      <c r="RZY117" s="222"/>
      <c r="RZZ117" s="222"/>
      <c r="SAA117" s="222"/>
      <c r="SAB117" s="222"/>
      <c r="SAC117" s="222"/>
      <c r="SAD117" s="222"/>
      <c r="SAE117" s="222"/>
      <c r="SAF117" s="222"/>
      <c r="SAG117" s="222"/>
      <c r="SAH117" s="222"/>
      <c r="SAI117" s="222"/>
      <c r="SAJ117" s="222"/>
      <c r="SAK117" s="222"/>
      <c r="SAL117" s="222"/>
      <c r="SAM117" s="222"/>
      <c r="SAN117" s="222"/>
      <c r="SAO117" s="222"/>
      <c r="SAP117" s="222"/>
      <c r="SAQ117" s="222"/>
      <c r="SAR117" s="222"/>
      <c r="SAS117" s="222"/>
      <c r="SAT117" s="222"/>
      <c r="SAU117" s="222"/>
      <c r="SAV117" s="222"/>
      <c r="SAW117" s="222"/>
      <c r="SAX117" s="222"/>
      <c r="SAY117" s="222"/>
      <c r="SAZ117" s="222"/>
      <c r="SBA117" s="222"/>
      <c r="SBB117" s="222"/>
      <c r="SBC117" s="222"/>
      <c r="SBD117" s="222"/>
      <c r="SBE117" s="222"/>
      <c r="SBF117" s="222"/>
      <c r="SBG117" s="222"/>
      <c r="SBH117" s="222"/>
      <c r="SBI117" s="222"/>
      <c r="SBJ117" s="222"/>
      <c r="SBK117" s="222"/>
      <c r="SBL117" s="222"/>
      <c r="SBM117" s="222"/>
      <c r="SBN117" s="222"/>
      <c r="SBO117" s="222"/>
      <c r="SBP117" s="222"/>
      <c r="SBQ117" s="222"/>
      <c r="SBR117" s="222"/>
      <c r="SBS117" s="222"/>
      <c r="SBT117" s="222"/>
      <c r="SBU117" s="222"/>
      <c r="SBV117" s="222"/>
      <c r="SBW117" s="222"/>
      <c r="SBX117" s="222"/>
      <c r="SBY117" s="222"/>
      <c r="SBZ117" s="222"/>
      <c r="SCA117" s="222"/>
      <c r="SCB117" s="222"/>
      <c r="SCC117" s="222"/>
      <c r="SCD117" s="222"/>
      <c r="SCE117" s="222"/>
      <c r="SCF117" s="222"/>
      <c r="SCG117" s="222"/>
      <c r="SCH117" s="222"/>
      <c r="SCI117" s="222"/>
      <c r="SCJ117" s="222"/>
      <c r="SCK117" s="222"/>
      <c r="SCL117" s="222"/>
      <c r="SCM117" s="222"/>
      <c r="SCN117" s="222"/>
      <c r="SCO117" s="222"/>
      <c r="SCP117" s="222"/>
      <c r="SCQ117" s="222"/>
      <c r="SCR117" s="222"/>
      <c r="SCS117" s="222"/>
      <c r="SCT117" s="222"/>
      <c r="SCU117" s="222"/>
      <c r="SCV117" s="222"/>
      <c r="SCW117" s="222"/>
      <c r="SCX117" s="222"/>
      <c r="SCY117" s="222"/>
      <c r="SCZ117" s="222"/>
      <c r="SDA117" s="222"/>
      <c r="SDB117" s="222"/>
      <c r="SDC117" s="222"/>
      <c r="SDD117" s="222"/>
      <c r="SDE117" s="222"/>
      <c r="SDF117" s="222"/>
      <c r="SDG117" s="222"/>
      <c r="SDH117" s="222"/>
      <c r="SDI117" s="222"/>
      <c r="SDJ117" s="222"/>
      <c r="SDK117" s="222"/>
      <c r="SDL117" s="222"/>
      <c r="SDM117" s="222"/>
      <c r="SDN117" s="222"/>
      <c r="SDO117" s="222"/>
      <c r="SDP117" s="222"/>
      <c r="SDQ117" s="222"/>
      <c r="SDR117" s="222"/>
      <c r="SDS117" s="222"/>
      <c r="SDT117" s="222"/>
      <c r="SDU117" s="222"/>
      <c r="SDV117" s="222"/>
      <c r="SDW117" s="222"/>
      <c r="SDX117" s="222"/>
      <c r="SDY117" s="222"/>
      <c r="SDZ117" s="222"/>
      <c r="SEA117" s="222"/>
      <c r="SEB117" s="222"/>
      <c r="SEC117" s="222"/>
      <c r="SED117" s="222"/>
      <c r="SEE117" s="222"/>
      <c r="SEF117" s="222"/>
      <c r="SEG117" s="222"/>
      <c r="SEH117" s="222"/>
      <c r="SEI117" s="222"/>
      <c r="SEJ117" s="222"/>
      <c r="SEK117" s="222"/>
      <c r="SEL117" s="222"/>
      <c r="SEM117" s="222"/>
      <c r="SEN117" s="222"/>
      <c r="SEO117" s="222"/>
      <c r="SEP117" s="222"/>
      <c r="SEQ117" s="222"/>
      <c r="SER117" s="222"/>
      <c r="SES117" s="222"/>
      <c r="SET117" s="222"/>
      <c r="SEU117" s="222"/>
      <c r="SEV117" s="222"/>
      <c r="SEW117" s="222"/>
      <c r="SEX117" s="222"/>
      <c r="SEY117" s="222"/>
      <c r="SEZ117" s="222"/>
      <c r="SFA117" s="222"/>
      <c r="SFB117" s="222"/>
      <c r="SFC117" s="222"/>
      <c r="SFD117" s="222"/>
      <c r="SFE117" s="222"/>
      <c r="SFF117" s="222"/>
      <c r="SFG117" s="222"/>
      <c r="SFH117" s="222"/>
      <c r="SFI117" s="222"/>
      <c r="SFJ117" s="222"/>
      <c r="SFK117" s="222"/>
      <c r="SFL117" s="222"/>
      <c r="SFM117" s="222"/>
      <c r="SFN117" s="222"/>
      <c r="SFO117" s="222"/>
      <c r="SFP117" s="222"/>
      <c r="SFQ117" s="222"/>
      <c r="SFR117" s="222"/>
      <c r="SFS117" s="222"/>
      <c r="SFT117" s="222"/>
      <c r="SFU117" s="222"/>
      <c r="SFV117" s="222"/>
      <c r="SFW117" s="222"/>
      <c r="SFX117" s="222"/>
      <c r="SFY117" s="222"/>
      <c r="SFZ117" s="222"/>
      <c r="SGA117" s="222"/>
      <c r="SGB117" s="222"/>
      <c r="SGC117" s="222"/>
      <c r="SGD117" s="222"/>
      <c r="SGE117" s="222"/>
      <c r="SGF117" s="222"/>
      <c r="SGG117" s="222"/>
      <c r="SGH117" s="222"/>
      <c r="SGI117" s="222"/>
      <c r="SGJ117" s="222"/>
      <c r="SGK117" s="222"/>
      <c r="SGL117" s="222"/>
      <c r="SGM117" s="222"/>
      <c r="SGN117" s="222"/>
      <c r="SGO117" s="222"/>
      <c r="SGP117" s="222"/>
      <c r="SGQ117" s="222"/>
      <c r="SGR117" s="222"/>
      <c r="SGS117" s="222"/>
      <c r="SGT117" s="222"/>
      <c r="SGU117" s="222"/>
      <c r="SGV117" s="222"/>
      <c r="SGW117" s="222"/>
      <c r="SGX117" s="222"/>
      <c r="SGY117" s="222"/>
      <c r="SGZ117" s="222"/>
      <c r="SHA117" s="222"/>
      <c r="SHB117" s="222"/>
      <c r="SHC117" s="222"/>
      <c r="SHD117" s="222"/>
      <c r="SHE117" s="222"/>
      <c r="SHF117" s="222"/>
      <c r="SHG117" s="222"/>
      <c r="SHH117" s="222"/>
      <c r="SHI117" s="222"/>
      <c r="SHJ117" s="222"/>
      <c r="SHK117" s="222"/>
      <c r="SHL117" s="222"/>
      <c r="SHM117" s="222"/>
      <c r="SHN117" s="222"/>
      <c r="SHO117" s="222"/>
      <c r="SHP117" s="222"/>
      <c r="SHQ117" s="222"/>
      <c r="SHR117" s="222"/>
      <c r="SHS117" s="222"/>
      <c r="SHT117" s="222"/>
      <c r="SHU117" s="222"/>
      <c r="SHV117" s="222"/>
      <c r="SHW117" s="222"/>
      <c r="SHX117" s="222"/>
      <c r="SHY117" s="222"/>
      <c r="SHZ117" s="222"/>
      <c r="SIA117" s="222"/>
      <c r="SIB117" s="222"/>
      <c r="SIC117" s="222"/>
      <c r="SID117" s="222"/>
      <c r="SIE117" s="222"/>
      <c r="SIF117" s="222"/>
      <c r="SIG117" s="222"/>
      <c r="SIH117" s="222"/>
      <c r="SII117" s="222"/>
      <c r="SIJ117" s="222"/>
      <c r="SIK117" s="222"/>
      <c r="SIL117" s="222"/>
      <c r="SIM117" s="222"/>
      <c r="SIN117" s="222"/>
      <c r="SIO117" s="222"/>
      <c r="SIP117" s="222"/>
      <c r="SIQ117" s="222"/>
      <c r="SIR117" s="222"/>
      <c r="SIS117" s="222"/>
      <c r="SIT117" s="222"/>
      <c r="SIU117" s="222"/>
      <c r="SIV117" s="222"/>
      <c r="SIW117" s="222"/>
      <c r="SIX117" s="222"/>
      <c r="SIY117" s="222"/>
      <c r="SIZ117" s="222"/>
      <c r="SJA117" s="222"/>
      <c r="SJB117" s="222"/>
      <c r="SJC117" s="222"/>
      <c r="SJD117" s="222"/>
      <c r="SJE117" s="222"/>
      <c r="SJF117" s="222"/>
      <c r="SJG117" s="222"/>
      <c r="SJH117" s="222"/>
      <c r="SJI117" s="222"/>
      <c r="SJJ117" s="222"/>
      <c r="SJK117" s="222"/>
      <c r="SJL117" s="222"/>
      <c r="SJM117" s="222"/>
      <c r="SJN117" s="222"/>
      <c r="SJO117" s="222"/>
      <c r="SJP117" s="222"/>
      <c r="SJQ117" s="222"/>
      <c r="SJR117" s="222"/>
      <c r="SJS117" s="222"/>
      <c r="SJT117" s="222"/>
      <c r="SJU117" s="222"/>
      <c r="SJV117" s="222"/>
      <c r="SJW117" s="222"/>
      <c r="SJX117" s="222"/>
      <c r="SJY117" s="222"/>
      <c r="SJZ117" s="222"/>
      <c r="SKA117" s="222"/>
      <c r="SKB117" s="222"/>
      <c r="SKC117" s="222"/>
      <c r="SKD117" s="222"/>
      <c r="SKE117" s="222"/>
      <c r="SKF117" s="222"/>
      <c r="SKG117" s="222"/>
      <c r="SKH117" s="222"/>
      <c r="SKI117" s="222"/>
      <c r="SKJ117" s="222"/>
      <c r="SKK117" s="222"/>
      <c r="SKL117" s="222"/>
      <c r="SKM117" s="222"/>
      <c r="SKN117" s="222"/>
      <c r="SKO117" s="222"/>
      <c r="SKP117" s="222"/>
      <c r="SKQ117" s="222"/>
      <c r="SKR117" s="222"/>
      <c r="SKS117" s="222"/>
      <c r="SKT117" s="222"/>
      <c r="SKU117" s="222"/>
      <c r="SKV117" s="222"/>
      <c r="SKW117" s="222"/>
      <c r="SKX117" s="222"/>
      <c r="SKY117" s="222"/>
      <c r="SKZ117" s="222"/>
      <c r="SLA117" s="222"/>
      <c r="SLB117" s="222"/>
      <c r="SLC117" s="222"/>
      <c r="SLD117" s="222"/>
      <c r="SLE117" s="222"/>
      <c r="SLF117" s="222"/>
      <c r="SLG117" s="222"/>
      <c r="SLH117" s="222"/>
      <c r="SLI117" s="222"/>
      <c r="SLJ117" s="222"/>
      <c r="SLK117" s="222"/>
      <c r="SLL117" s="222"/>
      <c r="SLM117" s="222"/>
      <c r="SLN117" s="222"/>
      <c r="SLO117" s="222"/>
      <c r="SLP117" s="222"/>
      <c r="SLQ117" s="222"/>
      <c r="SLR117" s="222"/>
      <c r="SLS117" s="222"/>
      <c r="SLT117" s="222"/>
      <c r="SLU117" s="222"/>
      <c r="SLV117" s="222"/>
      <c r="SLW117" s="222"/>
      <c r="SLX117" s="222"/>
      <c r="SLY117" s="222"/>
      <c r="SLZ117" s="222"/>
      <c r="SMA117" s="222"/>
      <c r="SMB117" s="222"/>
      <c r="SMC117" s="222"/>
      <c r="SMD117" s="222"/>
      <c r="SME117" s="222"/>
      <c r="SMF117" s="222"/>
      <c r="SMG117" s="222"/>
      <c r="SMH117" s="222"/>
      <c r="SMI117" s="222"/>
      <c r="SMJ117" s="222"/>
      <c r="SMK117" s="222"/>
      <c r="SML117" s="222"/>
      <c r="SMM117" s="222"/>
      <c r="SMN117" s="222"/>
      <c r="SMO117" s="222"/>
      <c r="SMP117" s="222"/>
      <c r="SMQ117" s="222"/>
      <c r="SMR117" s="222"/>
      <c r="SMS117" s="222"/>
      <c r="SMT117" s="222"/>
      <c r="SMU117" s="222"/>
      <c r="SMV117" s="222"/>
      <c r="SMW117" s="222"/>
      <c r="SMX117" s="222"/>
      <c r="SMY117" s="222"/>
      <c r="SMZ117" s="222"/>
      <c r="SNA117" s="222"/>
      <c r="SNB117" s="222"/>
      <c r="SNC117" s="222"/>
      <c r="SND117" s="222"/>
      <c r="SNE117" s="222"/>
      <c r="SNF117" s="222"/>
      <c r="SNG117" s="222"/>
      <c r="SNH117" s="222"/>
      <c r="SNI117" s="222"/>
      <c r="SNJ117" s="222"/>
      <c r="SNK117" s="222"/>
      <c r="SNL117" s="222"/>
      <c r="SNM117" s="222"/>
      <c r="SNN117" s="222"/>
      <c r="SNO117" s="222"/>
      <c r="SNP117" s="222"/>
      <c r="SNQ117" s="222"/>
      <c r="SNR117" s="222"/>
      <c r="SNS117" s="222"/>
      <c r="SNT117" s="222"/>
      <c r="SNU117" s="222"/>
      <c r="SNV117" s="222"/>
      <c r="SNW117" s="222"/>
      <c r="SNX117" s="222"/>
      <c r="SNY117" s="222"/>
      <c r="SNZ117" s="222"/>
      <c r="SOA117" s="222"/>
      <c r="SOB117" s="222"/>
      <c r="SOC117" s="222"/>
      <c r="SOD117" s="222"/>
      <c r="SOE117" s="222"/>
      <c r="SOF117" s="222"/>
      <c r="SOG117" s="222"/>
      <c r="SOH117" s="222"/>
      <c r="SOI117" s="222"/>
      <c r="SOJ117" s="222"/>
      <c r="SOK117" s="222"/>
      <c r="SOL117" s="222"/>
      <c r="SOM117" s="222"/>
      <c r="SON117" s="222"/>
      <c r="SOO117" s="222"/>
      <c r="SOP117" s="222"/>
      <c r="SOQ117" s="222"/>
      <c r="SOR117" s="222"/>
      <c r="SOS117" s="222"/>
      <c r="SOT117" s="222"/>
      <c r="SOU117" s="222"/>
      <c r="SOV117" s="222"/>
      <c r="SOW117" s="222"/>
      <c r="SOX117" s="222"/>
      <c r="SOY117" s="222"/>
      <c r="SOZ117" s="222"/>
      <c r="SPA117" s="222"/>
      <c r="SPB117" s="222"/>
      <c r="SPC117" s="222"/>
      <c r="SPD117" s="222"/>
      <c r="SPE117" s="222"/>
      <c r="SPF117" s="222"/>
      <c r="SPG117" s="222"/>
      <c r="SPH117" s="222"/>
      <c r="SPI117" s="222"/>
      <c r="SPJ117" s="222"/>
      <c r="SPK117" s="222"/>
      <c r="SPL117" s="222"/>
      <c r="SPM117" s="222"/>
      <c r="SPN117" s="222"/>
      <c r="SPO117" s="222"/>
      <c r="SPP117" s="222"/>
      <c r="SPQ117" s="222"/>
      <c r="SPR117" s="222"/>
      <c r="SPS117" s="222"/>
      <c r="SPT117" s="222"/>
      <c r="SPU117" s="222"/>
      <c r="SPV117" s="222"/>
      <c r="SPW117" s="222"/>
      <c r="SPX117" s="222"/>
      <c r="SPY117" s="222"/>
      <c r="SPZ117" s="222"/>
      <c r="SQA117" s="222"/>
      <c r="SQB117" s="222"/>
      <c r="SQC117" s="222"/>
      <c r="SQD117" s="222"/>
      <c r="SQE117" s="222"/>
      <c r="SQF117" s="222"/>
      <c r="SQG117" s="222"/>
      <c r="SQH117" s="222"/>
      <c r="SQI117" s="222"/>
      <c r="SQJ117" s="222"/>
      <c r="SQK117" s="222"/>
      <c r="SQL117" s="222"/>
      <c r="SQM117" s="222"/>
      <c r="SQN117" s="222"/>
      <c r="SQO117" s="222"/>
      <c r="SQP117" s="222"/>
      <c r="SQQ117" s="222"/>
      <c r="SQR117" s="222"/>
      <c r="SQS117" s="222"/>
      <c r="SQT117" s="222"/>
      <c r="SQU117" s="222"/>
      <c r="SQV117" s="222"/>
      <c r="SQW117" s="222"/>
      <c r="SQX117" s="222"/>
      <c r="SQY117" s="222"/>
      <c r="SQZ117" s="222"/>
      <c r="SRA117" s="222"/>
      <c r="SRB117" s="222"/>
      <c r="SRC117" s="222"/>
      <c r="SRD117" s="222"/>
      <c r="SRE117" s="222"/>
      <c r="SRF117" s="222"/>
      <c r="SRG117" s="222"/>
      <c r="SRH117" s="222"/>
      <c r="SRI117" s="222"/>
      <c r="SRJ117" s="222"/>
      <c r="SRK117" s="222"/>
      <c r="SRL117" s="222"/>
      <c r="SRM117" s="222"/>
      <c r="SRN117" s="222"/>
      <c r="SRO117" s="222"/>
      <c r="SRP117" s="222"/>
      <c r="SRQ117" s="222"/>
      <c r="SRR117" s="222"/>
      <c r="SRS117" s="222"/>
      <c r="SRT117" s="222"/>
      <c r="SRU117" s="222"/>
      <c r="SRV117" s="222"/>
      <c r="SRW117" s="222"/>
      <c r="SRX117" s="222"/>
      <c r="SRY117" s="222"/>
      <c r="SRZ117" s="222"/>
      <c r="SSA117" s="222"/>
      <c r="SSB117" s="222"/>
      <c r="SSC117" s="222"/>
      <c r="SSD117" s="222"/>
      <c r="SSE117" s="222"/>
      <c r="SSF117" s="222"/>
      <c r="SSG117" s="222"/>
      <c r="SSH117" s="222"/>
      <c r="SSI117" s="222"/>
      <c r="SSJ117" s="222"/>
      <c r="SSK117" s="222"/>
      <c r="SSL117" s="222"/>
      <c r="SSM117" s="222"/>
      <c r="SSN117" s="222"/>
      <c r="SSO117" s="222"/>
      <c r="SSP117" s="222"/>
      <c r="SSQ117" s="222"/>
      <c r="SSR117" s="222"/>
      <c r="SSS117" s="222"/>
      <c r="SST117" s="222"/>
      <c r="SSU117" s="222"/>
      <c r="SSV117" s="222"/>
      <c r="SSW117" s="222"/>
      <c r="SSX117" s="222"/>
      <c r="SSY117" s="222"/>
      <c r="SSZ117" s="222"/>
      <c r="STA117" s="222"/>
      <c r="STB117" s="222"/>
      <c r="STC117" s="222"/>
      <c r="STD117" s="222"/>
      <c r="STE117" s="222"/>
      <c r="STF117" s="222"/>
      <c r="STG117" s="222"/>
      <c r="STH117" s="222"/>
      <c r="STI117" s="222"/>
      <c r="STJ117" s="222"/>
      <c r="STK117" s="222"/>
      <c r="STL117" s="222"/>
      <c r="STM117" s="222"/>
      <c r="STN117" s="222"/>
      <c r="STO117" s="222"/>
      <c r="STP117" s="222"/>
      <c r="STQ117" s="222"/>
      <c r="STR117" s="222"/>
      <c r="STS117" s="222"/>
      <c r="STT117" s="222"/>
      <c r="STU117" s="222"/>
      <c r="STV117" s="222"/>
      <c r="STW117" s="222"/>
      <c r="STX117" s="222"/>
      <c r="STY117" s="222"/>
      <c r="STZ117" s="222"/>
      <c r="SUA117" s="222"/>
      <c r="SUB117" s="222"/>
      <c r="SUC117" s="222"/>
      <c r="SUD117" s="222"/>
      <c r="SUE117" s="222"/>
      <c r="SUF117" s="222"/>
      <c r="SUG117" s="222"/>
      <c r="SUH117" s="222"/>
      <c r="SUI117" s="222"/>
      <c r="SUJ117" s="222"/>
      <c r="SUK117" s="222"/>
      <c r="SUL117" s="222"/>
      <c r="SUM117" s="222"/>
      <c r="SUN117" s="222"/>
      <c r="SUO117" s="222"/>
      <c r="SUP117" s="222"/>
      <c r="SUQ117" s="222"/>
      <c r="SUR117" s="222"/>
      <c r="SUS117" s="222"/>
      <c r="SUT117" s="222"/>
      <c r="SUU117" s="222"/>
      <c r="SUV117" s="222"/>
      <c r="SUW117" s="222"/>
      <c r="SUX117" s="222"/>
      <c r="SUY117" s="222"/>
      <c r="SUZ117" s="222"/>
      <c r="SVA117" s="222"/>
      <c r="SVB117" s="222"/>
      <c r="SVC117" s="222"/>
      <c r="SVD117" s="222"/>
      <c r="SVE117" s="222"/>
      <c r="SVF117" s="222"/>
      <c r="SVG117" s="222"/>
      <c r="SVH117" s="222"/>
      <c r="SVI117" s="222"/>
      <c r="SVJ117" s="222"/>
      <c r="SVK117" s="222"/>
      <c r="SVL117" s="222"/>
      <c r="SVM117" s="222"/>
      <c r="SVN117" s="222"/>
      <c r="SVO117" s="222"/>
      <c r="SVP117" s="222"/>
      <c r="SVQ117" s="222"/>
      <c r="SVR117" s="222"/>
      <c r="SVS117" s="222"/>
      <c r="SVT117" s="222"/>
      <c r="SVU117" s="222"/>
      <c r="SVV117" s="222"/>
      <c r="SVW117" s="222"/>
      <c r="SVX117" s="222"/>
      <c r="SVY117" s="222"/>
      <c r="SVZ117" s="222"/>
      <c r="SWA117" s="222"/>
      <c r="SWB117" s="222"/>
      <c r="SWC117" s="222"/>
      <c r="SWD117" s="222"/>
      <c r="SWE117" s="222"/>
      <c r="SWF117" s="222"/>
      <c r="SWG117" s="222"/>
      <c r="SWH117" s="222"/>
      <c r="SWI117" s="222"/>
      <c r="SWJ117" s="222"/>
      <c r="SWK117" s="222"/>
      <c r="SWL117" s="222"/>
      <c r="SWM117" s="222"/>
      <c r="SWN117" s="222"/>
      <c r="SWO117" s="222"/>
      <c r="SWP117" s="222"/>
      <c r="SWQ117" s="222"/>
      <c r="SWR117" s="222"/>
      <c r="SWS117" s="222"/>
      <c r="SWT117" s="222"/>
      <c r="SWU117" s="222"/>
      <c r="SWV117" s="222"/>
      <c r="SWW117" s="222"/>
      <c r="SWX117" s="222"/>
      <c r="SWY117" s="222"/>
      <c r="SWZ117" s="222"/>
      <c r="SXA117" s="222"/>
      <c r="SXB117" s="222"/>
      <c r="SXC117" s="222"/>
      <c r="SXD117" s="222"/>
      <c r="SXE117" s="222"/>
      <c r="SXF117" s="222"/>
      <c r="SXG117" s="222"/>
      <c r="SXH117" s="222"/>
      <c r="SXI117" s="222"/>
      <c r="SXJ117" s="222"/>
      <c r="SXK117" s="222"/>
      <c r="SXL117" s="222"/>
      <c r="SXM117" s="222"/>
      <c r="SXN117" s="222"/>
      <c r="SXO117" s="222"/>
      <c r="SXP117" s="222"/>
      <c r="SXQ117" s="222"/>
      <c r="SXR117" s="222"/>
      <c r="SXS117" s="222"/>
      <c r="SXT117" s="222"/>
      <c r="SXU117" s="222"/>
      <c r="SXV117" s="222"/>
      <c r="SXW117" s="222"/>
      <c r="SXX117" s="222"/>
      <c r="SXY117" s="222"/>
      <c r="SXZ117" s="222"/>
      <c r="SYA117" s="222"/>
      <c r="SYB117" s="222"/>
      <c r="SYC117" s="222"/>
      <c r="SYD117" s="222"/>
      <c r="SYE117" s="222"/>
      <c r="SYF117" s="222"/>
      <c r="SYG117" s="222"/>
      <c r="SYH117" s="222"/>
      <c r="SYI117" s="222"/>
      <c r="SYJ117" s="222"/>
      <c r="SYK117" s="222"/>
      <c r="SYL117" s="222"/>
      <c r="SYM117" s="222"/>
      <c r="SYN117" s="222"/>
      <c r="SYO117" s="222"/>
      <c r="SYP117" s="222"/>
      <c r="SYQ117" s="222"/>
      <c r="SYR117" s="222"/>
      <c r="SYS117" s="222"/>
      <c r="SYT117" s="222"/>
      <c r="SYU117" s="222"/>
      <c r="SYV117" s="222"/>
      <c r="SYW117" s="222"/>
      <c r="SYX117" s="222"/>
      <c r="SYY117" s="222"/>
      <c r="SYZ117" s="222"/>
      <c r="SZA117" s="222"/>
      <c r="SZB117" s="222"/>
      <c r="SZC117" s="222"/>
      <c r="SZD117" s="222"/>
      <c r="SZE117" s="222"/>
      <c r="SZF117" s="222"/>
      <c r="SZG117" s="222"/>
      <c r="SZH117" s="222"/>
      <c r="SZI117" s="222"/>
      <c r="SZJ117" s="222"/>
      <c r="SZK117" s="222"/>
      <c r="SZL117" s="222"/>
      <c r="SZM117" s="222"/>
      <c r="SZN117" s="222"/>
      <c r="SZO117" s="222"/>
      <c r="SZP117" s="222"/>
      <c r="SZQ117" s="222"/>
      <c r="SZR117" s="222"/>
      <c r="SZS117" s="222"/>
      <c r="SZT117" s="222"/>
      <c r="SZU117" s="222"/>
      <c r="SZV117" s="222"/>
      <c r="SZW117" s="222"/>
      <c r="SZX117" s="222"/>
      <c r="SZY117" s="222"/>
      <c r="SZZ117" s="222"/>
      <c r="TAA117" s="222"/>
      <c r="TAB117" s="222"/>
      <c r="TAC117" s="222"/>
      <c r="TAD117" s="222"/>
      <c r="TAE117" s="222"/>
      <c r="TAF117" s="222"/>
      <c r="TAG117" s="222"/>
      <c r="TAH117" s="222"/>
      <c r="TAI117" s="222"/>
      <c r="TAJ117" s="222"/>
      <c r="TAK117" s="222"/>
      <c r="TAL117" s="222"/>
      <c r="TAM117" s="222"/>
      <c r="TAN117" s="222"/>
      <c r="TAO117" s="222"/>
      <c r="TAP117" s="222"/>
      <c r="TAQ117" s="222"/>
      <c r="TAR117" s="222"/>
      <c r="TAS117" s="222"/>
      <c r="TAT117" s="222"/>
      <c r="TAU117" s="222"/>
      <c r="TAV117" s="222"/>
      <c r="TAW117" s="222"/>
      <c r="TAX117" s="222"/>
      <c r="TAY117" s="222"/>
      <c r="TAZ117" s="222"/>
      <c r="TBA117" s="222"/>
      <c r="TBB117" s="222"/>
      <c r="TBC117" s="222"/>
      <c r="TBD117" s="222"/>
      <c r="TBE117" s="222"/>
      <c r="TBF117" s="222"/>
      <c r="TBG117" s="222"/>
      <c r="TBH117" s="222"/>
      <c r="TBI117" s="222"/>
      <c r="TBJ117" s="222"/>
      <c r="TBK117" s="222"/>
      <c r="TBL117" s="222"/>
      <c r="TBM117" s="222"/>
      <c r="TBN117" s="222"/>
      <c r="TBO117" s="222"/>
      <c r="TBP117" s="222"/>
      <c r="TBQ117" s="222"/>
      <c r="TBR117" s="222"/>
      <c r="TBS117" s="222"/>
      <c r="TBT117" s="222"/>
      <c r="TBU117" s="222"/>
      <c r="TBV117" s="222"/>
      <c r="TBW117" s="222"/>
      <c r="TBX117" s="222"/>
      <c r="TBY117" s="222"/>
      <c r="TBZ117" s="222"/>
      <c r="TCA117" s="222"/>
      <c r="TCB117" s="222"/>
      <c r="TCC117" s="222"/>
      <c r="TCD117" s="222"/>
      <c r="TCE117" s="222"/>
      <c r="TCF117" s="222"/>
      <c r="TCG117" s="222"/>
      <c r="TCH117" s="222"/>
      <c r="TCI117" s="222"/>
      <c r="TCJ117" s="222"/>
      <c r="TCK117" s="222"/>
      <c r="TCL117" s="222"/>
      <c r="TCM117" s="222"/>
      <c r="TCN117" s="222"/>
      <c r="TCO117" s="222"/>
      <c r="TCP117" s="222"/>
      <c r="TCQ117" s="222"/>
      <c r="TCR117" s="222"/>
      <c r="TCS117" s="222"/>
      <c r="TCT117" s="222"/>
      <c r="TCU117" s="222"/>
      <c r="TCV117" s="222"/>
      <c r="TCW117" s="222"/>
      <c r="TCX117" s="222"/>
      <c r="TCY117" s="222"/>
      <c r="TCZ117" s="222"/>
      <c r="TDA117" s="222"/>
      <c r="TDB117" s="222"/>
      <c r="TDC117" s="222"/>
      <c r="TDD117" s="222"/>
      <c r="TDE117" s="222"/>
      <c r="TDF117" s="222"/>
      <c r="TDG117" s="222"/>
      <c r="TDH117" s="222"/>
      <c r="TDI117" s="222"/>
      <c r="TDJ117" s="222"/>
      <c r="TDK117" s="222"/>
      <c r="TDL117" s="222"/>
      <c r="TDM117" s="222"/>
      <c r="TDN117" s="222"/>
      <c r="TDO117" s="222"/>
      <c r="TDP117" s="222"/>
      <c r="TDQ117" s="222"/>
      <c r="TDR117" s="222"/>
      <c r="TDS117" s="222"/>
      <c r="TDT117" s="222"/>
      <c r="TDU117" s="222"/>
      <c r="TDV117" s="222"/>
      <c r="TDW117" s="222"/>
      <c r="TDX117" s="222"/>
      <c r="TDY117" s="222"/>
      <c r="TDZ117" s="222"/>
      <c r="TEA117" s="222"/>
      <c r="TEB117" s="222"/>
      <c r="TEC117" s="222"/>
      <c r="TED117" s="222"/>
      <c r="TEE117" s="222"/>
      <c r="TEF117" s="222"/>
      <c r="TEG117" s="222"/>
      <c r="TEH117" s="222"/>
      <c r="TEI117" s="222"/>
      <c r="TEJ117" s="222"/>
      <c r="TEK117" s="222"/>
      <c r="TEL117" s="222"/>
      <c r="TEM117" s="222"/>
      <c r="TEN117" s="222"/>
      <c r="TEO117" s="222"/>
      <c r="TEP117" s="222"/>
      <c r="TEQ117" s="222"/>
      <c r="TER117" s="222"/>
      <c r="TES117" s="222"/>
      <c r="TET117" s="222"/>
      <c r="TEU117" s="222"/>
      <c r="TEV117" s="222"/>
      <c r="TEW117" s="222"/>
      <c r="TEX117" s="222"/>
      <c r="TEY117" s="222"/>
      <c r="TEZ117" s="222"/>
      <c r="TFA117" s="222"/>
      <c r="TFB117" s="222"/>
      <c r="TFC117" s="222"/>
      <c r="TFD117" s="222"/>
      <c r="TFE117" s="222"/>
      <c r="TFF117" s="222"/>
      <c r="TFG117" s="222"/>
      <c r="TFH117" s="222"/>
      <c r="TFI117" s="222"/>
      <c r="TFJ117" s="222"/>
      <c r="TFK117" s="222"/>
      <c r="TFL117" s="222"/>
      <c r="TFM117" s="222"/>
      <c r="TFN117" s="222"/>
      <c r="TFO117" s="222"/>
      <c r="TFP117" s="222"/>
      <c r="TFQ117" s="222"/>
      <c r="TFR117" s="222"/>
      <c r="TFS117" s="222"/>
      <c r="TFT117" s="222"/>
      <c r="TFU117" s="222"/>
      <c r="TFV117" s="222"/>
      <c r="TFW117" s="222"/>
      <c r="TFX117" s="222"/>
      <c r="TFY117" s="222"/>
      <c r="TFZ117" s="222"/>
      <c r="TGA117" s="222"/>
      <c r="TGB117" s="222"/>
      <c r="TGC117" s="222"/>
      <c r="TGD117" s="222"/>
      <c r="TGE117" s="222"/>
      <c r="TGF117" s="222"/>
      <c r="TGG117" s="222"/>
      <c r="TGH117" s="222"/>
      <c r="TGI117" s="222"/>
      <c r="TGJ117" s="222"/>
      <c r="TGK117" s="222"/>
      <c r="TGL117" s="222"/>
      <c r="TGM117" s="222"/>
      <c r="TGN117" s="222"/>
      <c r="TGO117" s="222"/>
      <c r="TGP117" s="222"/>
      <c r="TGQ117" s="222"/>
      <c r="TGR117" s="222"/>
      <c r="TGS117" s="222"/>
      <c r="TGT117" s="222"/>
      <c r="TGU117" s="222"/>
      <c r="TGV117" s="222"/>
      <c r="TGW117" s="222"/>
      <c r="TGX117" s="222"/>
      <c r="TGY117" s="222"/>
      <c r="TGZ117" s="222"/>
      <c r="THA117" s="222"/>
      <c r="THB117" s="222"/>
      <c r="THC117" s="222"/>
      <c r="THD117" s="222"/>
      <c r="THE117" s="222"/>
      <c r="THF117" s="222"/>
      <c r="THG117" s="222"/>
      <c r="THH117" s="222"/>
      <c r="THI117" s="222"/>
      <c r="THJ117" s="222"/>
      <c r="THK117" s="222"/>
      <c r="THL117" s="222"/>
      <c r="THM117" s="222"/>
      <c r="THN117" s="222"/>
      <c r="THO117" s="222"/>
      <c r="THP117" s="222"/>
      <c r="THQ117" s="222"/>
      <c r="THR117" s="222"/>
      <c r="THS117" s="222"/>
      <c r="THT117" s="222"/>
      <c r="THU117" s="222"/>
      <c r="THV117" s="222"/>
      <c r="THW117" s="222"/>
      <c r="THX117" s="222"/>
      <c r="THY117" s="222"/>
      <c r="THZ117" s="222"/>
      <c r="TIA117" s="222"/>
      <c r="TIB117" s="222"/>
      <c r="TIC117" s="222"/>
      <c r="TID117" s="222"/>
      <c r="TIE117" s="222"/>
      <c r="TIF117" s="222"/>
      <c r="TIG117" s="222"/>
      <c r="TIH117" s="222"/>
      <c r="TII117" s="222"/>
      <c r="TIJ117" s="222"/>
      <c r="TIK117" s="222"/>
      <c r="TIL117" s="222"/>
      <c r="TIM117" s="222"/>
      <c r="TIN117" s="222"/>
      <c r="TIO117" s="222"/>
      <c r="TIP117" s="222"/>
      <c r="TIQ117" s="222"/>
      <c r="TIR117" s="222"/>
      <c r="TIS117" s="222"/>
      <c r="TIT117" s="222"/>
      <c r="TIU117" s="222"/>
      <c r="TIV117" s="222"/>
      <c r="TIW117" s="222"/>
      <c r="TIX117" s="222"/>
      <c r="TIY117" s="222"/>
      <c r="TIZ117" s="222"/>
      <c r="TJA117" s="222"/>
      <c r="TJB117" s="222"/>
      <c r="TJC117" s="222"/>
      <c r="TJD117" s="222"/>
      <c r="TJE117" s="222"/>
      <c r="TJF117" s="222"/>
      <c r="TJG117" s="222"/>
      <c r="TJH117" s="222"/>
      <c r="TJI117" s="222"/>
      <c r="TJJ117" s="222"/>
      <c r="TJK117" s="222"/>
      <c r="TJL117" s="222"/>
      <c r="TJM117" s="222"/>
      <c r="TJN117" s="222"/>
      <c r="TJO117" s="222"/>
      <c r="TJP117" s="222"/>
      <c r="TJQ117" s="222"/>
      <c r="TJR117" s="222"/>
      <c r="TJS117" s="222"/>
      <c r="TJT117" s="222"/>
      <c r="TJU117" s="222"/>
      <c r="TJV117" s="222"/>
      <c r="TJW117" s="222"/>
      <c r="TJX117" s="222"/>
      <c r="TJY117" s="222"/>
      <c r="TJZ117" s="222"/>
      <c r="TKA117" s="222"/>
      <c r="TKB117" s="222"/>
      <c r="TKC117" s="222"/>
      <c r="TKD117" s="222"/>
      <c r="TKE117" s="222"/>
      <c r="TKF117" s="222"/>
      <c r="TKG117" s="222"/>
      <c r="TKH117" s="222"/>
      <c r="TKI117" s="222"/>
      <c r="TKJ117" s="222"/>
      <c r="TKK117" s="222"/>
      <c r="TKL117" s="222"/>
      <c r="TKM117" s="222"/>
      <c r="TKN117" s="222"/>
      <c r="TKO117" s="222"/>
      <c r="TKP117" s="222"/>
      <c r="TKQ117" s="222"/>
      <c r="TKR117" s="222"/>
      <c r="TKS117" s="222"/>
      <c r="TKT117" s="222"/>
      <c r="TKU117" s="222"/>
      <c r="TKV117" s="222"/>
      <c r="TKW117" s="222"/>
      <c r="TKX117" s="222"/>
      <c r="TKY117" s="222"/>
      <c r="TKZ117" s="222"/>
      <c r="TLA117" s="222"/>
      <c r="TLB117" s="222"/>
      <c r="TLC117" s="222"/>
      <c r="TLD117" s="222"/>
      <c r="TLE117" s="222"/>
      <c r="TLF117" s="222"/>
      <c r="TLG117" s="222"/>
      <c r="TLH117" s="222"/>
      <c r="TLI117" s="222"/>
      <c r="TLJ117" s="222"/>
      <c r="TLK117" s="222"/>
      <c r="TLL117" s="222"/>
      <c r="TLM117" s="222"/>
      <c r="TLN117" s="222"/>
      <c r="TLO117" s="222"/>
      <c r="TLP117" s="222"/>
      <c r="TLQ117" s="222"/>
      <c r="TLR117" s="222"/>
      <c r="TLS117" s="222"/>
      <c r="TLT117" s="222"/>
      <c r="TLU117" s="222"/>
      <c r="TLV117" s="222"/>
      <c r="TLW117" s="222"/>
      <c r="TLX117" s="222"/>
      <c r="TLY117" s="222"/>
      <c r="TLZ117" s="222"/>
      <c r="TMA117" s="222"/>
      <c r="TMB117" s="222"/>
      <c r="TMC117" s="222"/>
      <c r="TMD117" s="222"/>
      <c r="TME117" s="222"/>
      <c r="TMF117" s="222"/>
      <c r="TMG117" s="222"/>
      <c r="TMH117" s="222"/>
      <c r="TMI117" s="222"/>
      <c r="TMJ117" s="222"/>
      <c r="TMK117" s="222"/>
      <c r="TML117" s="222"/>
      <c r="TMM117" s="222"/>
      <c r="TMN117" s="222"/>
      <c r="TMO117" s="222"/>
      <c r="TMP117" s="222"/>
      <c r="TMQ117" s="222"/>
      <c r="TMR117" s="222"/>
      <c r="TMS117" s="222"/>
      <c r="TMT117" s="222"/>
      <c r="TMU117" s="222"/>
      <c r="TMV117" s="222"/>
      <c r="TMW117" s="222"/>
      <c r="TMX117" s="222"/>
      <c r="TMY117" s="222"/>
      <c r="TMZ117" s="222"/>
      <c r="TNA117" s="222"/>
      <c r="TNB117" s="222"/>
      <c r="TNC117" s="222"/>
      <c r="TND117" s="222"/>
      <c r="TNE117" s="222"/>
      <c r="TNF117" s="222"/>
      <c r="TNG117" s="222"/>
      <c r="TNH117" s="222"/>
      <c r="TNI117" s="222"/>
      <c r="TNJ117" s="222"/>
      <c r="TNK117" s="222"/>
      <c r="TNL117" s="222"/>
      <c r="TNM117" s="222"/>
      <c r="TNN117" s="222"/>
      <c r="TNO117" s="222"/>
      <c r="TNP117" s="222"/>
      <c r="TNQ117" s="222"/>
      <c r="TNR117" s="222"/>
      <c r="TNS117" s="222"/>
      <c r="TNT117" s="222"/>
      <c r="TNU117" s="222"/>
      <c r="TNV117" s="222"/>
      <c r="TNW117" s="222"/>
      <c r="TNX117" s="222"/>
      <c r="TNY117" s="222"/>
      <c r="TNZ117" s="222"/>
      <c r="TOA117" s="222"/>
      <c r="TOB117" s="222"/>
      <c r="TOC117" s="222"/>
      <c r="TOD117" s="222"/>
      <c r="TOE117" s="222"/>
      <c r="TOF117" s="222"/>
      <c r="TOG117" s="222"/>
      <c r="TOH117" s="222"/>
      <c r="TOI117" s="222"/>
      <c r="TOJ117" s="222"/>
      <c r="TOK117" s="222"/>
      <c r="TOL117" s="222"/>
      <c r="TOM117" s="222"/>
      <c r="TON117" s="222"/>
      <c r="TOO117" s="222"/>
      <c r="TOP117" s="222"/>
      <c r="TOQ117" s="222"/>
      <c r="TOR117" s="222"/>
      <c r="TOS117" s="222"/>
      <c r="TOT117" s="222"/>
      <c r="TOU117" s="222"/>
      <c r="TOV117" s="222"/>
      <c r="TOW117" s="222"/>
      <c r="TOX117" s="222"/>
      <c r="TOY117" s="222"/>
      <c r="TOZ117" s="222"/>
      <c r="TPA117" s="222"/>
      <c r="TPB117" s="222"/>
      <c r="TPC117" s="222"/>
      <c r="TPD117" s="222"/>
      <c r="TPE117" s="222"/>
      <c r="TPF117" s="222"/>
      <c r="TPG117" s="222"/>
      <c r="TPH117" s="222"/>
      <c r="TPI117" s="222"/>
      <c r="TPJ117" s="222"/>
      <c r="TPK117" s="222"/>
      <c r="TPL117" s="222"/>
      <c r="TPM117" s="222"/>
      <c r="TPN117" s="222"/>
      <c r="TPO117" s="222"/>
      <c r="TPP117" s="222"/>
      <c r="TPQ117" s="222"/>
      <c r="TPR117" s="222"/>
      <c r="TPS117" s="222"/>
      <c r="TPT117" s="222"/>
      <c r="TPU117" s="222"/>
      <c r="TPV117" s="222"/>
      <c r="TPW117" s="222"/>
      <c r="TPX117" s="222"/>
      <c r="TPY117" s="222"/>
      <c r="TPZ117" s="222"/>
      <c r="TQA117" s="222"/>
      <c r="TQB117" s="222"/>
      <c r="TQC117" s="222"/>
      <c r="TQD117" s="222"/>
      <c r="TQE117" s="222"/>
      <c r="TQF117" s="222"/>
      <c r="TQG117" s="222"/>
      <c r="TQH117" s="222"/>
      <c r="TQI117" s="222"/>
      <c r="TQJ117" s="222"/>
      <c r="TQK117" s="222"/>
      <c r="TQL117" s="222"/>
      <c r="TQM117" s="222"/>
      <c r="TQN117" s="222"/>
      <c r="TQO117" s="222"/>
      <c r="TQP117" s="222"/>
      <c r="TQQ117" s="222"/>
      <c r="TQR117" s="222"/>
      <c r="TQS117" s="222"/>
      <c r="TQT117" s="222"/>
      <c r="TQU117" s="222"/>
      <c r="TQV117" s="222"/>
      <c r="TQW117" s="222"/>
      <c r="TQX117" s="222"/>
      <c r="TQY117" s="222"/>
      <c r="TQZ117" s="222"/>
      <c r="TRA117" s="222"/>
      <c r="TRB117" s="222"/>
      <c r="TRC117" s="222"/>
      <c r="TRD117" s="222"/>
      <c r="TRE117" s="222"/>
      <c r="TRF117" s="222"/>
      <c r="TRG117" s="222"/>
      <c r="TRH117" s="222"/>
      <c r="TRI117" s="222"/>
      <c r="TRJ117" s="222"/>
      <c r="TRK117" s="222"/>
      <c r="TRL117" s="222"/>
      <c r="TRM117" s="222"/>
      <c r="TRN117" s="222"/>
      <c r="TRO117" s="222"/>
      <c r="TRP117" s="222"/>
      <c r="TRQ117" s="222"/>
      <c r="TRR117" s="222"/>
      <c r="TRS117" s="222"/>
      <c r="TRT117" s="222"/>
      <c r="TRU117" s="222"/>
      <c r="TRV117" s="222"/>
      <c r="TRW117" s="222"/>
      <c r="TRX117" s="222"/>
      <c r="TRY117" s="222"/>
      <c r="TRZ117" s="222"/>
      <c r="TSA117" s="222"/>
      <c r="TSB117" s="222"/>
      <c r="TSC117" s="222"/>
      <c r="TSD117" s="222"/>
      <c r="TSE117" s="222"/>
      <c r="TSF117" s="222"/>
      <c r="TSG117" s="222"/>
      <c r="TSH117" s="222"/>
      <c r="TSI117" s="222"/>
      <c r="TSJ117" s="222"/>
      <c r="TSK117" s="222"/>
      <c r="TSL117" s="222"/>
      <c r="TSM117" s="222"/>
      <c r="TSN117" s="222"/>
      <c r="TSO117" s="222"/>
      <c r="TSP117" s="222"/>
      <c r="TSQ117" s="222"/>
      <c r="TSR117" s="222"/>
      <c r="TSS117" s="222"/>
      <c r="TST117" s="222"/>
      <c r="TSU117" s="222"/>
      <c r="TSV117" s="222"/>
      <c r="TSW117" s="222"/>
      <c r="TSX117" s="222"/>
      <c r="TSY117" s="222"/>
      <c r="TSZ117" s="222"/>
      <c r="TTA117" s="222"/>
      <c r="TTB117" s="222"/>
      <c r="TTC117" s="222"/>
      <c r="TTD117" s="222"/>
      <c r="TTE117" s="222"/>
      <c r="TTF117" s="222"/>
      <c r="TTG117" s="222"/>
      <c r="TTH117" s="222"/>
      <c r="TTI117" s="222"/>
      <c r="TTJ117" s="222"/>
      <c r="TTK117" s="222"/>
      <c r="TTL117" s="222"/>
      <c r="TTM117" s="222"/>
      <c r="TTN117" s="222"/>
      <c r="TTO117" s="222"/>
      <c r="TTP117" s="222"/>
      <c r="TTQ117" s="222"/>
      <c r="TTR117" s="222"/>
      <c r="TTS117" s="222"/>
      <c r="TTT117" s="222"/>
      <c r="TTU117" s="222"/>
      <c r="TTV117" s="222"/>
      <c r="TTW117" s="222"/>
      <c r="TTX117" s="222"/>
      <c r="TTY117" s="222"/>
      <c r="TTZ117" s="222"/>
      <c r="TUA117" s="222"/>
      <c r="TUB117" s="222"/>
      <c r="TUC117" s="222"/>
      <c r="TUD117" s="222"/>
      <c r="TUE117" s="222"/>
      <c r="TUF117" s="222"/>
      <c r="TUG117" s="222"/>
      <c r="TUH117" s="222"/>
      <c r="TUI117" s="222"/>
      <c r="TUJ117" s="222"/>
      <c r="TUK117" s="222"/>
      <c r="TUL117" s="222"/>
      <c r="TUM117" s="222"/>
      <c r="TUN117" s="222"/>
      <c r="TUO117" s="222"/>
      <c r="TUP117" s="222"/>
      <c r="TUQ117" s="222"/>
      <c r="TUR117" s="222"/>
      <c r="TUS117" s="222"/>
      <c r="TUT117" s="222"/>
      <c r="TUU117" s="222"/>
      <c r="TUV117" s="222"/>
      <c r="TUW117" s="222"/>
      <c r="TUX117" s="222"/>
      <c r="TUY117" s="222"/>
      <c r="TUZ117" s="222"/>
      <c r="TVA117" s="222"/>
      <c r="TVB117" s="222"/>
      <c r="TVC117" s="222"/>
      <c r="TVD117" s="222"/>
      <c r="TVE117" s="222"/>
      <c r="TVF117" s="222"/>
      <c r="TVG117" s="222"/>
      <c r="TVH117" s="222"/>
      <c r="TVI117" s="222"/>
      <c r="TVJ117" s="222"/>
      <c r="TVK117" s="222"/>
      <c r="TVL117" s="222"/>
      <c r="TVM117" s="222"/>
      <c r="TVN117" s="222"/>
      <c r="TVO117" s="222"/>
      <c r="TVP117" s="222"/>
      <c r="TVQ117" s="222"/>
      <c r="TVR117" s="222"/>
      <c r="TVS117" s="222"/>
      <c r="TVT117" s="222"/>
      <c r="TVU117" s="222"/>
      <c r="TVV117" s="222"/>
      <c r="TVW117" s="222"/>
      <c r="TVX117" s="222"/>
      <c r="TVY117" s="222"/>
      <c r="TVZ117" s="222"/>
      <c r="TWA117" s="222"/>
      <c r="TWB117" s="222"/>
      <c r="TWC117" s="222"/>
      <c r="TWD117" s="222"/>
      <c r="TWE117" s="222"/>
      <c r="TWF117" s="222"/>
      <c r="TWG117" s="222"/>
      <c r="TWH117" s="222"/>
      <c r="TWI117" s="222"/>
      <c r="TWJ117" s="222"/>
      <c r="TWK117" s="222"/>
      <c r="TWL117" s="222"/>
      <c r="TWM117" s="222"/>
      <c r="TWN117" s="222"/>
      <c r="TWO117" s="222"/>
      <c r="TWP117" s="222"/>
      <c r="TWQ117" s="222"/>
      <c r="TWR117" s="222"/>
      <c r="TWS117" s="222"/>
      <c r="TWT117" s="222"/>
      <c r="TWU117" s="222"/>
      <c r="TWV117" s="222"/>
      <c r="TWW117" s="222"/>
      <c r="TWX117" s="222"/>
      <c r="TWY117" s="222"/>
      <c r="TWZ117" s="222"/>
      <c r="TXA117" s="222"/>
      <c r="TXB117" s="222"/>
      <c r="TXC117" s="222"/>
      <c r="TXD117" s="222"/>
      <c r="TXE117" s="222"/>
      <c r="TXF117" s="222"/>
      <c r="TXG117" s="222"/>
      <c r="TXH117" s="222"/>
      <c r="TXI117" s="222"/>
      <c r="TXJ117" s="222"/>
      <c r="TXK117" s="222"/>
      <c r="TXL117" s="222"/>
      <c r="TXM117" s="222"/>
      <c r="TXN117" s="222"/>
      <c r="TXO117" s="222"/>
      <c r="TXP117" s="222"/>
      <c r="TXQ117" s="222"/>
      <c r="TXR117" s="222"/>
      <c r="TXS117" s="222"/>
      <c r="TXT117" s="222"/>
      <c r="TXU117" s="222"/>
      <c r="TXV117" s="222"/>
      <c r="TXW117" s="222"/>
      <c r="TXX117" s="222"/>
      <c r="TXY117" s="222"/>
      <c r="TXZ117" s="222"/>
      <c r="TYA117" s="222"/>
      <c r="TYB117" s="222"/>
      <c r="TYC117" s="222"/>
      <c r="TYD117" s="222"/>
      <c r="TYE117" s="222"/>
      <c r="TYF117" s="222"/>
      <c r="TYG117" s="222"/>
      <c r="TYH117" s="222"/>
      <c r="TYI117" s="222"/>
      <c r="TYJ117" s="222"/>
      <c r="TYK117" s="222"/>
      <c r="TYL117" s="222"/>
      <c r="TYM117" s="222"/>
      <c r="TYN117" s="222"/>
      <c r="TYO117" s="222"/>
      <c r="TYP117" s="222"/>
      <c r="TYQ117" s="222"/>
      <c r="TYR117" s="222"/>
      <c r="TYS117" s="222"/>
      <c r="TYT117" s="222"/>
      <c r="TYU117" s="222"/>
      <c r="TYV117" s="222"/>
      <c r="TYW117" s="222"/>
      <c r="TYX117" s="222"/>
      <c r="TYY117" s="222"/>
      <c r="TYZ117" s="222"/>
      <c r="TZA117" s="222"/>
      <c r="TZB117" s="222"/>
      <c r="TZC117" s="222"/>
      <c r="TZD117" s="222"/>
      <c r="TZE117" s="222"/>
      <c r="TZF117" s="222"/>
      <c r="TZG117" s="222"/>
      <c r="TZH117" s="222"/>
      <c r="TZI117" s="222"/>
      <c r="TZJ117" s="222"/>
      <c r="TZK117" s="222"/>
      <c r="TZL117" s="222"/>
      <c r="TZM117" s="222"/>
      <c r="TZN117" s="222"/>
      <c r="TZO117" s="222"/>
      <c r="TZP117" s="222"/>
      <c r="TZQ117" s="222"/>
      <c r="TZR117" s="222"/>
      <c r="TZS117" s="222"/>
      <c r="TZT117" s="222"/>
      <c r="TZU117" s="222"/>
      <c r="TZV117" s="222"/>
      <c r="TZW117" s="222"/>
      <c r="TZX117" s="222"/>
      <c r="TZY117" s="222"/>
      <c r="TZZ117" s="222"/>
      <c r="UAA117" s="222"/>
      <c r="UAB117" s="222"/>
      <c r="UAC117" s="222"/>
      <c r="UAD117" s="222"/>
      <c r="UAE117" s="222"/>
      <c r="UAF117" s="222"/>
      <c r="UAG117" s="222"/>
      <c r="UAH117" s="222"/>
      <c r="UAI117" s="222"/>
      <c r="UAJ117" s="222"/>
      <c r="UAK117" s="222"/>
      <c r="UAL117" s="222"/>
      <c r="UAM117" s="222"/>
      <c r="UAN117" s="222"/>
      <c r="UAO117" s="222"/>
      <c r="UAP117" s="222"/>
      <c r="UAQ117" s="222"/>
      <c r="UAR117" s="222"/>
      <c r="UAS117" s="222"/>
      <c r="UAT117" s="222"/>
      <c r="UAU117" s="222"/>
      <c r="UAV117" s="222"/>
      <c r="UAW117" s="222"/>
      <c r="UAX117" s="222"/>
      <c r="UAY117" s="222"/>
      <c r="UAZ117" s="222"/>
      <c r="UBA117" s="222"/>
      <c r="UBB117" s="222"/>
      <c r="UBC117" s="222"/>
      <c r="UBD117" s="222"/>
      <c r="UBE117" s="222"/>
      <c r="UBF117" s="222"/>
      <c r="UBG117" s="222"/>
      <c r="UBH117" s="222"/>
      <c r="UBI117" s="222"/>
      <c r="UBJ117" s="222"/>
      <c r="UBK117" s="222"/>
      <c r="UBL117" s="222"/>
      <c r="UBM117" s="222"/>
      <c r="UBN117" s="222"/>
      <c r="UBO117" s="222"/>
      <c r="UBP117" s="222"/>
      <c r="UBQ117" s="222"/>
      <c r="UBR117" s="222"/>
      <c r="UBS117" s="222"/>
      <c r="UBT117" s="222"/>
      <c r="UBU117" s="222"/>
      <c r="UBV117" s="222"/>
      <c r="UBW117" s="222"/>
      <c r="UBX117" s="222"/>
      <c r="UBY117" s="222"/>
      <c r="UBZ117" s="222"/>
      <c r="UCA117" s="222"/>
      <c r="UCB117" s="222"/>
      <c r="UCC117" s="222"/>
      <c r="UCD117" s="222"/>
      <c r="UCE117" s="222"/>
      <c r="UCF117" s="222"/>
      <c r="UCG117" s="222"/>
      <c r="UCH117" s="222"/>
      <c r="UCI117" s="222"/>
      <c r="UCJ117" s="222"/>
      <c r="UCK117" s="222"/>
      <c r="UCL117" s="222"/>
      <c r="UCM117" s="222"/>
      <c r="UCN117" s="222"/>
      <c r="UCO117" s="222"/>
      <c r="UCP117" s="222"/>
      <c r="UCQ117" s="222"/>
      <c r="UCR117" s="222"/>
      <c r="UCS117" s="222"/>
      <c r="UCT117" s="222"/>
      <c r="UCU117" s="222"/>
      <c r="UCV117" s="222"/>
      <c r="UCW117" s="222"/>
      <c r="UCX117" s="222"/>
      <c r="UCY117" s="222"/>
      <c r="UCZ117" s="222"/>
      <c r="UDA117" s="222"/>
      <c r="UDB117" s="222"/>
      <c r="UDC117" s="222"/>
      <c r="UDD117" s="222"/>
      <c r="UDE117" s="222"/>
      <c r="UDF117" s="222"/>
      <c r="UDG117" s="222"/>
      <c r="UDH117" s="222"/>
      <c r="UDI117" s="222"/>
      <c r="UDJ117" s="222"/>
      <c r="UDK117" s="222"/>
      <c r="UDL117" s="222"/>
      <c r="UDM117" s="222"/>
      <c r="UDN117" s="222"/>
      <c r="UDO117" s="222"/>
      <c r="UDP117" s="222"/>
      <c r="UDQ117" s="222"/>
      <c r="UDR117" s="222"/>
      <c r="UDS117" s="222"/>
      <c r="UDT117" s="222"/>
      <c r="UDU117" s="222"/>
      <c r="UDV117" s="222"/>
      <c r="UDW117" s="222"/>
      <c r="UDX117" s="222"/>
      <c r="UDY117" s="222"/>
      <c r="UDZ117" s="222"/>
      <c r="UEA117" s="222"/>
      <c r="UEB117" s="222"/>
      <c r="UEC117" s="222"/>
      <c r="UED117" s="222"/>
      <c r="UEE117" s="222"/>
      <c r="UEF117" s="222"/>
      <c r="UEG117" s="222"/>
      <c r="UEH117" s="222"/>
      <c r="UEI117" s="222"/>
      <c r="UEJ117" s="222"/>
      <c r="UEK117" s="222"/>
      <c r="UEL117" s="222"/>
      <c r="UEM117" s="222"/>
      <c r="UEN117" s="222"/>
      <c r="UEO117" s="222"/>
      <c r="UEP117" s="222"/>
      <c r="UEQ117" s="222"/>
      <c r="UER117" s="222"/>
      <c r="UES117" s="222"/>
      <c r="UET117" s="222"/>
      <c r="UEU117" s="222"/>
      <c r="UEV117" s="222"/>
      <c r="UEW117" s="222"/>
      <c r="UEX117" s="222"/>
      <c r="UEY117" s="222"/>
      <c r="UEZ117" s="222"/>
      <c r="UFA117" s="222"/>
      <c r="UFB117" s="222"/>
      <c r="UFC117" s="222"/>
      <c r="UFD117" s="222"/>
      <c r="UFE117" s="222"/>
      <c r="UFF117" s="222"/>
      <c r="UFG117" s="222"/>
      <c r="UFH117" s="222"/>
      <c r="UFI117" s="222"/>
      <c r="UFJ117" s="222"/>
      <c r="UFK117" s="222"/>
      <c r="UFL117" s="222"/>
      <c r="UFM117" s="222"/>
      <c r="UFN117" s="222"/>
      <c r="UFO117" s="222"/>
      <c r="UFP117" s="222"/>
      <c r="UFQ117" s="222"/>
      <c r="UFR117" s="222"/>
      <c r="UFS117" s="222"/>
      <c r="UFT117" s="222"/>
      <c r="UFU117" s="222"/>
      <c r="UFV117" s="222"/>
      <c r="UFW117" s="222"/>
      <c r="UFX117" s="222"/>
      <c r="UFY117" s="222"/>
      <c r="UFZ117" s="222"/>
      <c r="UGA117" s="222"/>
      <c r="UGB117" s="222"/>
      <c r="UGC117" s="222"/>
      <c r="UGD117" s="222"/>
      <c r="UGE117" s="222"/>
      <c r="UGF117" s="222"/>
      <c r="UGG117" s="222"/>
      <c r="UGH117" s="222"/>
      <c r="UGI117" s="222"/>
      <c r="UGJ117" s="222"/>
      <c r="UGK117" s="222"/>
      <c r="UGL117" s="222"/>
      <c r="UGM117" s="222"/>
      <c r="UGN117" s="222"/>
      <c r="UGO117" s="222"/>
      <c r="UGP117" s="222"/>
      <c r="UGQ117" s="222"/>
      <c r="UGR117" s="222"/>
      <c r="UGS117" s="222"/>
      <c r="UGT117" s="222"/>
      <c r="UGU117" s="222"/>
      <c r="UGV117" s="222"/>
      <c r="UGW117" s="222"/>
      <c r="UGX117" s="222"/>
      <c r="UGY117" s="222"/>
      <c r="UGZ117" s="222"/>
      <c r="UHA117" s="222"/>
      <c r="UHB117" s="222"/>
      <c r="UHC117" s="222"/>
      <c r="UHD117" s="222"/>
      <c r="UHE117" s="222"/>
      <c r="UHF117" s="222"/>
      <c r="UHG117" s="222"/>
      <c r="UHH117" s="222"/>
      <c r="UHI117" s="222"/>
      <c r="UHJ117" s="222"/>
      <c r="UHK117" s="222"/>
      <c r="UHL117" s="222"/>
      <c r="UHM117" s="222"/>
      <c r="UHN117" s="222"/>
      <c r="UHO117" s="222"/>
      <c r="UHP117" s="222"/>
      <c r="UHQ117" s="222"/>
      <c r="UHR117" s="222"/>
      <c r="UHS117" s="222"/>
      <c r="UHT117" s="222"/>
      <c r="UHU117" s="222"/>
      <c r="UHV117" s="222"/>
      <c r="UHW117" s="222"/>
      <c r="UHX117" s="222"/>
      <c r="UHY117" s="222"/>
      <c r="UHZ117" s="222"/>
      <c r="UIA117" s="222"/>
      <c r="UIB117" s="222"/>
      <c r="UIC117" s="222"/>
      <c r="UID117" s="222"/>
      <c r="UIE117" s="222"/>
      <c r="UIF117" s="222"/>
      <c r="UIG117" s="222"/>
      <c r="UIH117" s="222"/>
      <c r="UII117" s="222"/>
      <c r="UIJ117" s="222"/>
      <c r="UIK117" s="222"/>
      <c r="UIL117" s="222"/>
      <c r="UIM117" s="222"/>
      <c r="UIN117" s="222"/>
      <c r="UIO117" s="222"/>
      <c r="UIP117" s="222"/>
      <c r="UIQ117" s="222"/>
      <c r="UIR117" s="222"/>
      <c r="UIS117" s="222"/>
      <c r="UIT117" s="222"/>
      <c r="UIU117" s="222"/>
      <c r="UIV117" s="222"/>
      <c r="UIW117" s="222"/>
      <c r="UIX117" s="222"/>
      <c r="UIY117" s="222"/>
      <c r="UIZ117" s="222"/>
      <c r="UJA117" s="222"/>
      <c r="UJB117" s="222"/>
      <c r="UJC117" s="222"/>
      <c r="UJD117" s="222"/>
      <c r="UJE117" s="222"/>
      <c r="UJF117" s="222"/>
      <c r="UJG117" s="222"/>
      <c r="UJH117" s="222"/>
      <c r="UJI117" s="222"/>
      <c r="UJJ117" s="222"/>
      <c r="UJK117" s="222"/>
      <c r="UJL117" s="222"/>
      <c r="UJM117" s="222"/>
      <c r="UJN117" s="222"/>
      <c r="UJO117" s="222"/>
      <c r="UJP117" s="222"/>
      <c r="UJQ117" s="222"/>
      <c r="UJR117" s="222"/>
      <c r="UJS117" s="222"/>
      <c r="UJT117" s="222"/>
      <c r="UJU117" s="222"/>
      <c r="UJV117" s="222"/>
      <c r="UJW117" s="222"/>
      <c r="UJX117" s="222"/>
      <c r="UJY117" s="222"/>
      <c r="UJZ117" s="222"/>
      <c r="UKA117" s="222"/>
      <c r="UKB117" s="222"/>
      <c r="UKC117" s="222"/>
      <c r="UKD117" s="222"/>
      <c r="UKE117" s="222"/>
      <c r="UKF117" s="222"/>
      <c r="UKG117" s="222"/>
      <c r="UKH117" s="222"/>
      <c r="UKI117" s="222"/>
      <c r="UKJ117" s="222"/>
      <c r="UKK117" s="222"/>
      <c r="UKL117" s="222"/>
      <c r="UKM117" s="222"/>
      <c r="UKN117" s="222"/>
      <c r="UKO117" s="222"/>
      <c r="UKP117" s="222"/>
      <c r="UKQ117" s="222"/>
      <c r="UKR117" s="222"/>
      <c r="UKS117" s="222"/>
      <c r="UKT117" s="222"/>
      <c r="UKU117" s="222"/>
      <c r="UKV117" s="222"/>
      <c r="UKW117" s="222"/>
      <c r="UKX117" s="222"/>
      <c r="UKY117" s="222"/>
      <c r="UKZ117" s="222"/>
      <c r="ULA117" s="222"/>
      <c r="ULB117" s="222"/>
      <c r="ULC117" s="222"/>
      <c r="ULD117" s="222"/>
      <c r="ULE117" s="222"/>
      <c r="ULF117" s="222"/>
      <c r="ULG117" s="222"/>
      <c r="ULH117" s="222"/>
      <c r="ULI117" s="222"/>
      <c r="ULJ117" s="222"/>
      <c r="ULK117" s="222"/>
      <c r="ULL117" s="222"/>
      <c r="ULM117" s="222"/>
      <c r="ULN117" s="222"/>
      <c r="ULO117" s="222"/>
      <c r="ULP117" s="222"/>
      <c r="ULQ117" s="222"/>
      <c r="ULR117" s="222"/>
      <c r="ULS117" s="222"/>
      <c r="ULT117" s="222"/>
      <c r="ULU117" s="222"/>
      <c r="ULV117" s="222"/>
      <c r="ULW117" s="222"/>
      <c r="ULX117" s="222"/>
      <c r="ULY117" s="222"/>
      <c r="ULZ117" s="222"/>
      <c r="UMA117" s="222"/>
      <c r="UMB117" s="222"/>
      <c r="UMC117" s="222"/>
      <c r="UMD117" s="222"/>
      <c r="UME117" s="222"/>
      <c r="UMF117" s="222"/>
      <c r="UMG117" s="222"/>
      <c r="UMH117" s="222"/>
      <c r="UMI117" s="222"/>
      <c r="UMJ117" s="222"/>
      <c r="UMK117" s="222"/>
      <c r="UML117" s="222"/>
      <c r="UMM117" s="222"/>
      <c r="UMN117" s="222"/>
      <c r="UMO117" s="222"/>
      <c r="UMP117" s="222"/>
      <c r="UMQ117" s="222"/>
      <c r="UMR117" s="222"/>
      <c r="UMS117" s="222"/>
      <c r="UMT117" s="222"/>
      <c r="UMU117" s="222"/>
      <c r="UMV117" s="222"/>
      <c r="UMW117" s="222"/>
      <c r="UMX117" s="222"/>
      <c r="UMY117" s="222"/>
      <c r="UMZ117" s="222"/>
      <c r="UNA117" s="222"/>
      <c r="UNB117" s="222"/>
      <c r="UNC117" s="222"/>
      <c r="UND117" s="222"/>
      <c r="UNE117" s="222"/>
      <c r="UNF117" s="222"/>
      <c r="UNG117" s="222"/>
      <c r="UNH117" s="222"/>
      <c r="UNI117" s="222"/>
      <c r="UNJ117" s="222"/>
      <c r="UNK117" s="222"/>
      <c r="UNL117" s="222"/>
      <c r="UNM117" s="222"/>
      <c r="UNN117" s="222"/>
      <c r="UNO117" s="222"/>
      <c r="UNP117" s="222"/>
      <c r="UNQ117" s="222"/>
      <c r="UNR117" s="222"/>
      <c r="UNS117" s="222"/>
      <c r="UNT117" s="222"/>
      <c r="UNU117" s="222"/>
      <c r="UNV117" s="222"/>
      <c r="UNW117" s="222"/>
      <c r="UNX117" s="222"/>
      <c r="UNY117" s="222"/>
      <c r="UNZ117" s="222"/>
      <c r="UOA117" s="222"/>
      <c r="UOB117" s="222"/>
      <c r="UOC117" s="222"/>
      <c r="UOD117" s="222"/>
      <c r="UOE117" s="222"/>
      <c r="UOF117" s="222"/>
      <c r="UOG117" s="222"/>
      <c r="UOH117" s="222"/>
      <c r="UOI117" s="222"/>
      <c r="UOJ117" s="222"/>
      <c r="UOK117" s="222"/>
      <c r="UOL117" s="222"/>
      <c r="UOM117" s="222"/>
      <c r="UON117" s="222"/>
      <c r="UOO117" s="222"/>
      <c r="UOP117" s="222"/>
      <c r="UOQ117" s="222"/>
      <c r="UOR117" s="222"/>
      <c r="UOS117" s="222"/>
      <c r="UOT117" s="222"/>
      <c r="UOU117" s="222"/>
      <c r="UOV117" s="222"/>
      <c r="UOW117" s="222"/>
      <c r="UOX117" s="222"/>
      <c r="UOY117" s="222"/>
      <c r="UOZ117" s="222"/>
      <c r="UPA117" s="222"/>
      <c r="UPB117" s="222"/>
      <c r="UPC117" s="222"/>
      <c r="UPD117" s="222"/>
      <c r="UPE117" s="222"/>
      <c r="UPF117" s="222"/>
      <c r="UPG117" s="222"/>
      <c r="UPH117" s="222"/>
      <c r="UPI117" s="222"/>
      <c r="UPJ117" s="222"/>
      <c r="UPK117" s="222"/>
      <c r="UPL117" s="222"/>
      <c r="UPM117" s="222"/>
      <c r="UPN117" s="222"/>
      <c r="UPO117" s="222"/>
      <c r="UPP117" s="222"/>
      <c r="UPQ117" s="222"/>
      <c r="UPR117" s="222"/>
      <c r="UPS117" s="222"/>
      <c r="UPT117" s="222"/>
      <c r="UPU117" s="222"/>
      <c r="UPV117" s="222"/>
      <c r="UPW117" s="222"/>
      <c r="UPX117" s="222"/>
      <c r="UPY117" s="222"/>
      <c r="UPZ117" s="222"/>
      <c r="UQA117" s="222"/>
      <c r="UQB117" s="222"/>
      <c r="UQC117" s="222"/>
      <c r="UQD117" s="222"/>
      <c r="UQE117" s="222"/>
      <c r="UQF117" s="222"/>
      <c r="UQG117" s="222"/>
      <c r="UQH117" s="222"/>
      <c r="UQI117" s="222"/>
      <c r="UQJ117" s="222"/>
      <c r="UQK117" s="222"/>
      <c r="UQL117" s="222"/>
      <c r="UQM117" s="222"/>
      <c r="UQN117" s="222"/>
      <c r="UQO117" s="222"/>
      <c r="UQP117" s="222"/>
      <c r="UQQ117" s="222"/>
      <c r="UQR117" s="222"/>
      <c r="UQS117" s="222"/>
      <c r="UQT117" s="222"/>
      <c r="UQU117" s="222"/>
      <c r="UQV117" s="222"/>
      <c r="UQW117" s="222"/>
      <c r="UQX117" s="222"/>
      <c r="UQY117" s="222"/>
      <c r="UQZ117" s="222"/>
      <c r="URA117" s="222"/>
      <c r="URB117" s="222"/>
      <c r="URC117" s="222"/>
      <c r="URD117" s="222"/>
      <c r="URE117" s="222"/>
      <c r="URF117" s="222"/>
      <c r="URG117" s="222"/>
      <c r="URH117" s="222"/>
      <c r="URI117" s="222"/>
      <c r="URJ117" s="222"/>
      <c r="URK117" s="222"/>
      <c r="URL117" s="222"/>
      <c r="URM117" s="222"/>
      <c r="URN117" s="222"/>
      <c r="URO117" s="222"/>
      <c r="URP117" s="222"/>
      <c r="URQ117" s="222"/>
      <c r="URR117" s="222"/>
      <c r="URS117" s="222"/>
      <c r="URT117" s="222"/>
      <c r="URU117" s="222"/>
      <c r="URV117" s="222"/>
      <c r="URW117" s="222"/>
      <c r="URX117" s="222"/>
      <c r="URY117" s="222"/>
      <c r="URZ117" s="222"/>
      <c r="USA117" s="222"/>
      <c r="USB117" s="222"/>
      <c r="USC117" s="222"/>
      <c r="USD117" s="222"/>
      <c r="USE117" s="222"/>
      <c r="USF117" s="222"/>
      <c r="USG117" s="222"/>
      <c r="USH117" s="222"/>
      <c r="USI117" s="222"/>
      <c r="USJ117" s="222"/>
      <c r="USK117" s="222"/>
      <c r="USL117" s="222"/>
      <c r="USM117" s="222"/>
      <c r="USN117" s="222"/>
      <c r="USO117" s="222"/>
      <c r="USP117" s="222"/>
      <c r="USQ117" s="222"/>
      <c r="USR117" s="222"/>
      <c r="USS117" s="222"/>
      <c r="UST117" s="222"/>
      <c r="USU117" s="222"/>
      <c r="USV117" s="222"/>
      <c r="USW117" s="222"/>
      <c r="USX117" s="222"/>
      <c r="USY117" s="222"/>
      <c r="USZ117" s="222"/>
      <c r="UTA117" s="222"/>
      <c r="UTB117" s="222"/>
      <c r="UTC117" s="222"/>
      <c r="UTD117" s="222"/>
      <c r="UTE117" s="222"/>
      <c r="UTF117" s="222"/>
      <c r="UTG117" s="222"/>
      <c r="UTH117" s="222"/>
      <c r="UTI117" s="222"/>
      <c r="UTJ117" s="222"/>
      <c r="UTK117" s="222"/>
      <c r="UTL117" s="222"/>
      <c r="UTM117" s="222"/>
      <c r="UTN117" s="222"/>
      <c r="UTO117" s="222"/>
      <c r="UTP117" s="222"/>
      <c r="UTQ117" s="222"/>
      <c r="UTR117" s="222"/>
      <c r="UTS117" s="222"/>
      <c r="UTT117" s="222"/>
      <c r="UTU117" s="222"/>
      <c r="UTV117" s="222"/>
      <c r="UTW117" s="222"/>
      <c r="UTX117" s="222"/>
      <c r="UTY117" s="222"/>
      <c r="UTZ117" s="222"/>
      <c r="UUA117" s="222"/>
      <c r="UUB117" s="222"/>
      <c r="UUC117" s="222"/>
      <c r="UUD117" s="222"/>
      <c r="UUE117" s="222"/>
      <c r="UUF117" s="222"/>
      <c r="UUG117" s="222"/>
      <c r="UUH117" s="222"/>
      <c r="UUI117" s="222"/>
      <c r="UUJ117" s="222"/>
      <c r="UUK117" s="222"/>
      <c r="UUL117" s="222"/>
      <c r="UUM117" s="222"/>
      <c r="UUN117" s="222"/>
      <c r="UUO117" s="222"/>
      <c r="UUP117" s="222"/>
      <c r="UUQ117" s="222"/>
      <c r="UUR117" s="222"/>
      <c r="UUS117" s="222"/>
      <c r="UUT117" s="222"/>
      <c r="UUU117" s="222"/>
      <c r="UUV117" s="222"/>
      <c r="UUW117" s="222"/>
      <c r="UUX117" s="222"/>
      <c r="UUY117" s="222"/>
      <c r="UUZ117" s="222"/>
      <c r="UVA117" s="222"/>
      <c r="UVB117" s="222"/>
      <c r="UVC117" s="222"/>
      <c r="UVD117" s="222"/>
      <c r="UVE117" s="222"/>
      <c r="UVF117" s="222"/>
      <c r="UVG117" s="222"/>
      <c r="UVH117" s="222"/>
      <c r="UVI117" s="222"/>
      <c r="UVJ117" s="222"/>
      <c r="UVK117" s="222"/>
      <c r="UVL117" s="222"/>
      <c r="UVM117" s="222"/>
      <c r="UVN117" s="222"/>
      <c r="UVO117" s="222"/>
      <c r="UVP117" s="222"/>
      <c r="UVQ117" s="222"/>
      <c r="UVR117" s="222"/>
      <c r="UVS117" s="222"/>
      <c r="UVT117" s="222"/>
      <c r="UVU117" s="222"/>
      <c r="UVV117" s="222"/>
      <c r="UVW117" s="222"/>
      <c r="UVX117" s="222"/>
      <c r="UVY117" s="222"/>
      <c r="UVZ117" s="222"/>
      <c r="UWA117" s="222"/>
      <c r="UWB117" s="222"/>
      <c r="UWC117" s="222"/>
      <c r="UWD117" s="222"/>
      <c r="UWE117" s="222"/>
      <c r="UWF117" s="222"/>
      <c r="UWG117" s="222"/>
      <c r="UWH117" s="222"/>
      <c r="UWI117" s="222"/>
      <c r="UWJ117" s="222"/>
      <c r="UWK117" s="222"/>
      <c r="UWL117" s="222"/>
      <c r="UWM117" s="222"/>
      <c r="UWN117" s="222"/>
      <c r="UWO117" s="222"/>
      <c r="UWP117" s="222"/>
      <c r="UWQ117" s="222"/>
      <c r="UWR117" s="222"/>
      <c r="UWS117" s="222"/>
      <c r="UWT117" s="222"/>
      <c r="UWU117" s="222"/>
      <c r="UWV117" s="222"/>
      <c r="UWW117" s="222"/>
      <c r="UWX117" s="222"/>
      <c r="UWY117" s="222"/>
      <c r="UWZ117" s="222"/>
      <c r="UXA117" s="222"/>
      <c r="UXB117" s="222"/>
      <c r="UXC117" s="222"/>
      <c r="UXD117" s="222"/>
      <c r="UXE117" s="222"/>
      <c r="UXF117" s="222"/>
      <c r="UXG117" s="222"/>
      <c r="UXH117" s="222"/>
      <c r="UXI117" s="222"/>
      <c r="UXJ117" s="222"/>
      <c r="UXK117" s="222"/>
      <c r="UXL117" s="222"/>
      <c r="UXM117" s="222"/>
      <c r="UXN117" s="222"/>
      <c r="UXO117" s="222"/>
      <c r="UXP117" s="222"/>
      <c r="UXQ117" s="222"/>
      <c r="UXR117" s="222"/>
      <c r="UXS117" s="222"/>
      <c r="UXT117" s="222"/>
      <c r="UXU117" s="222"/>
      <c r="UXV117" s="222"/>
      <c r="UXW117" s="222"/>
      <c r="UXX117" s="222"/>
      <c r="UXY117" s="222"/>
      <c r="UXZ117" s="222"/>
      <c r="UYA117" s="222"/>
      <c r="UYB117" s="222"/>
      <c r="UYC117" s="222"/>
      <c r="UYD117" s="222"/>
      <c r="UYE117" s="222"/>
      <c r="UYF117" s="222"/>
      <c r="UYG117" s="222"/>
      <c r="UYH117" s="222"/>
      <c r="UYI117" s="222"/>
      <c r="UYJ117" s="222"/>
      <c r="UYK117" s="222"/>
      <c r="UYL117" s="222"/>
      <c r="UYM117" s="222"/>
      <c r="UYN117" s="222"/>
      <c r="UYO117" s="222"/>
      <c r="UYP117" s="222"/>
      <c r="UYQ117" s="222"/>
      <c r="UYR117" s="222"/>
      <c r="UYS117" s="222"/>
      <c r="UYT117" s="222"/>
      <c r="UYU117" s="222"/>
      <c r="UYV117" s="222"/>
      <c r="UYW117" s="222"/>
      <c r="UYX117" s="222"/>
      <c r="UYY117" s="222"/>
      <c r="UYZ117" s="222"/>
      <c r="UZA117" s="222"/>
      <c r="UZB117" s="222"/>
      <c r="UZC117" s="222"/>
      <c r="UZD117" s="222"/>
      <c r="UZE117" s="222"/>
      <c r="UZF117" s="222"/>
      <c r="UZG117" s="222"/>
      <c r="UZH117" s="222"/>
      <c r="UZI117" s="222"/>
      <c r="UZJ117" s="222"/>
      <c r="UZK117" s="222"/>
      <c r="UZL117" s="222"/>
      <c r="UZM117" s="222"/>
      <c r="UZN117" s="222"/>
      <c r="UZO117" s="222"/>
      <c r="UZP117" s="222"/>
      <c r="UZQ117" s="222"/>
      <c r="UZR117" s="222"/>
      <c r="UZS117" s="222"/>
      <c r="UZT117" s="222"/>
      <c r="UZU117" s="222"/>
      <c r="UZV117" s="222"/>
      <c r="UZW117" s="222"/>
      <c r="UZX117" s="222"/>
      <c r="UZY117" s="222"/>
      <c r="UZZ117" s="222"/>
      <c r="VAA117" s="222"/>
      <c r="VAB117" s="222"/>
      <c r="VAC117" s="222"/>
      <c r="VAD117" s="222"/>
      <c r="VAE117" s="222"/>
      <c r="VAF117" s="222"/>
      <c r="VAG117" s="222"/>
      <c r="VAH117" s="222"/>
      <c r="VAI117" s="222"/>
      <c r="VAJ117" s="222"/>
      <c r="VAK117" s="222"/>
      <c r="VAL117" s="222"/>
      <c r="VAM117" s="222"/>
      <c r="VAN117" s="222"/>
      <c r="VAO117" s="222"/>
      <c r="VAP117" s="222"/>
      <c r="VAQ117" s="222"/>
      <c r="VAR117" s="222"/>
      <c r="VAS117" s="222"/>
      <c r="VAT117" s="222"/>
      <c r="VAU117" s="222"/>
      <c r="VAV117" s="222"/>
      <c r="VAW117" s="222"/>
      <c r="VAX117" s="222"/>
      <c r="VAY117" s="222"/>
      <c r="VAZ117" s="222"/>
      <c r="VBA117" s="222"/>
      <c r="VBB117" s="222"/>
      <c r="VBC117" s="222"/>
      <c r="VBD117" s="222"/>
      <c r="VBE117" s="222"/>
      <c r="VBF117" s="222"/>
      <c r="VBG117" s="222"/>
      <c r="VBH117" s="222"/>
      <c r="VBI117" s="222"/>
      <c r="VBJ117" s="222"/>
      <c r="VBK117" s="222"/>
      <c r="VBL117" s="222"/>
      <c r="VBM117" s="222"/>
      <c r="VBN117" s="222"/>
      <c r="VBO117" s="222"/>
      <c r="VBP117" s="222"/>
      <c r="VBQ117" s="222"/>
      <c r="VBR117" s="222"/>
      <c r="VBS117" s="222"/>
      <c r="VBT117" s="222"/>
      <c r="VBU117" s="222"/>
      <c r="VBV117" s="222"/>
      <c r="VBW117" s="222"/>
      <c r="VBX117" s="222"/>
      <c r="VBY117" s="222"/>
      <c r="VBZ117" s="222"/>
      <c r="VCA117" s="222"/>
      <c r="VCB117" s="222"/>
      <c r="VCC117" s="222"/>
      <c r="VCD117" s="222"/>
      <c r="VCE117" s="222"/>
      <c r="VCF117" s="222"/>
      <c r="VCG117" s="222"/>
      <c r="VCH117" s="222"/>
      <c r="VCI117" s="222"/>
      <c r="VCJ117" s="222"/>
      <c r="VCK117" s="222"/>
      <c r="VCL117" s="222"/>
      <c r="VCM117" s="222"/>
      <c r="VCN117" s="222"/>
      <c r="VCO117" s="222"/>
      <c r="VCP117" s="222"/>
      <c r="VCQ117" s="222"/>
      <c r="VCR117" s="222"/>
      <c r="VCS117" s="222"/>
      <c r="VCT117" s="222"/>
      <c r="VCU117" s="222"/>
      <c r="VCV117" s="222"/>
      <c r="VCW117" s="222"/>
      <c r="VCX117" s="222"/>
      <c r="VCY117" s="222"/>
      <c r="VCZ117" s="222"/>
      <c r="VDA117" s="222"/>
      <c r="VDB117" s="222"/>
      <c r="VDC117" s="222"/>
      <c r="VDD117" s="222"/>
      <c r="VDE117" s="222"/>
      <c r="VDF117" s="222"/>
      <c r="VDG117" s="222"/>
      <c r="VDH117" s="222"/>
      <c r="VDI117" s="222"/>
      <c r="VDJ117" s="222"/>
      <c r="VDK117" s="222"/>
      <c r="VDL117" s="222"/>
      <c r="VDM117" s="222"/>
      <c r="VDN117" s="222"/>
      <c r="VDO117" s="222"/>
      <c r="VDP117" s="222"/>
      <c r="VDQ117" s="222"/>
      <c r="VDR117" s="222"/>
      <c r="VDS117" s="222"/>
      <c r="VDT117" s="222"/>
      <c r="VDU117" s="222"/>
      <c r="VDV117" s="222"/>
      <c r="VDW117" s="222"/>
      <c r="VDX117" s="222"/>
      <c r="VDY117" s="222"/>
      <c r="VDZ117" s="222"/>
      <c r="VEA117" s="222"/>
      <c r="VEB117" s="222"/>
      <c r="VEC117" s="222"/>
      <c r="VED117" s="222"/>
      <c r="VEE117" s="222"/>
      <c r="VEF117" s="222"/>
      <c r="VEG117" s="222"/>
      <c r="VEH117" s="222"/>
      <c r="VEI117" s="222"/>
      <c r="VEJ117" s="222"/>
      <c r="VEK117" s="222"/>
      <c r="VEL117" s="222"/>
      <c r="VEM117" s="222"/>
      <c r="VEN117" s="222"/>
      <c r="VEO117" s="222"/>
      <c r="VEP117" s="222"/>
      <c r="VEQ117" s="222"/>
      <c r="VER117" s="222"/>
      <c r="VES117" s="222"/>
      <c r="VET117" s="222"/>
      <c r="VEU117" s="222"/>
      <c r="VEV117" s="222"/>
      <c r="VEW117" s="222"/>
      <c r="VEX117" s="222"/>
      <c r="VEY117" s="222"/>
      <c r="VEZ117" s="222"/>
      <c r="VFA117" s="222"/>
      <c r="VFB117" s="222"/>
      <c r="VFC117" s="222"/>
      <c r="VFD117" s="222"/>
      <c r="VFE117" s="222"/>
      <c r="VFF117" s="222"/>
      <c r="VFG117" s="222"/>
      <c r="VFH117" s="222"/>
      <c r="VFI117" s="222"/>
      <c r="VFJ117" s="222"/>
      <c r="VFK117" s="222"/>
      <c r="VFL117" s="222"/>
      <c r="VFM117" s="222"/>
      <c r="VFN117" s="222"/>
      <c r="VFO117" s="222"/>
      <c r="VFP117" s="222"/>
      <c r="VFQ117" s="222"/>
      <c r="VFR117" s="222"/>
      <c r="VFS117" s="222"/>
      <c r="VFT117" s="222"/>
      <c r="VFU117" s="222"/>
      <c r="VFV117" s="222"/>
      <c r="VFW117" s="222"/>
      <c r="VFX117" s="222"/>
      <c r="VFY117" s="222"/>
      <c r="VFZ117" s="222"/>
      <c r="VGA117" s="222"/>
      <c r="VGB117" s="222"/>
      <c r="VGC117" s="222"/>
      <c r="VGD117" s="222"/>
      <c r="VGE117" s="222"/>
      <c r="VGF117" s="222"/>
      <c r="VGG117" s="222"/>
      <c r="VGH117" s="222"/>
      <c r="VGI117" s="222"/>
      <c r="VGJ117" s="222"/>
      <c r="VGK117" s="222"/>
      <c r="VGL117" s="222"/>
      <c r="VGM117" s="222"/>
      <c r="VGN117" s="222"/>
      <c r="VGO117" s="222"/>
      <c r="VGP117" s="222"/>
      <c r="VGQ117" s="222"/>
      <c r="VGR117" s="222"/>
      <c r="VGS117" s="222"/>
      <c r="VGT117" s="222"/>
      <c r="VGU117" s="222"/>
      <c r="VGV117" s="222"/>
      <c r="VGW117" s="222"/>
      <c r="VGX117" s="222"/>
      <c r="VGY117" s="222"/>
      <c r="VGZ117" s="222"/>
      <c r="VHA117" s="222"/>
      <c r="VHB117" s="222"/>
      <c r="VHC117" s="222"/>
      <c r="VHD117" s="222"/>
      <c r="VHE117" s="222"/>
      <c r="VHF117" s="222"/>
      <c r="VHG117" s="222"/>
      <c r="VHH117" s="222"/>
      <c r="VHI117" s="222"/>
      <c r="VHJ117" s="222"/>
      <c r="VHK117" s="222"/>
      <c r="VHL117" s="222"/>
      <c r="VHM117" s="222"/>
      <c r="VHN117" s="222"/>
      <c r="VHO117" s="222"/>
      <c r="VHP117" s="222"/>
      <c r="VHQ117" s="222"/>
      <c r="VHR117" s="222"/>
      <c r="VHS117" s="222"/>
      <c r="VHT117" s="222"/>
      <c r="VHU117" s="222"/>
      <c r="VHV117" s="222"/>
      <c r="VHW117" s="222"/>
      <c r="VHX117" s="222"/>
      <c r="VHY117" s="222"/>
      <c r="VHZ117" s="222"/>
      <c r="VIA117" s="222"/>
      <c r="VIB117" s="222"/>
      <c r="VIC117" s="222"/>
      <c r="VID117" s="222"/>
      <c r="VIE117" s="222"/>
      <c r="VIF117" s="222"/>
      <c r="VIG117" s="222"/>
      <c r="VIH117" s="222"/>
      <c r="VII117" s="222"/>
      <c r="VIJ117" s="222"/>
      <c r="VIK117" s="222"/>
      <c r="VIL117" s="222"/>
      <c r="VIM117" s="222"/>
      <c r="VIN117" s="222"/>
      <c r="VIO117" s="222"/>
      <c r="VIP117" s="222"/>
      <c r="VIQ117" s="222"/>
      <c r="VIR117" s="222"/>
      <c r="VIS117" s="222"/>
      <c r="VIT117" s="222"/>
      <c r="VIU117" s="222"/>
      <c r="VIV117" s="222"/>
      <c r="VIW117" s="222"/>
      <c r="VIX117" s="222"/>
      <c r="VIY117" s="222"/>
      <c r="VIZ117" s="222"/>
      <c r="VJA117" s="222"/>
      <c r="VJB117" s="222"/>
      <c r="VJC117" s="222"/>
      <c r="VJD117" s="222"/>
      <c r="VJE117" s="222"/>
      <c r="VJF117" s="222"/>
      <c r="VJG117" s="222"/>
      <c r="VJH117" s="222"/>
      <c r="VJI117" s="222"/>
      <c r="VJJ117" s="222"/>
      <c r="VJK117" s="222"/>
      <c r="VJL117" s="222"/>
      <c r="VJM117" s="222"/>
      <c r="VJN117" s="222"/>
      <c r="VJO117" s="222"/>
      <c r="VJP117" s="222"/>
      <c r="VJQ117" s="222"/>
      <c r="VJR117" s="222"/>
      <c r="VJS117" s="222"/>
      <c r="VJT117" s="222"/>
      <c r="VJU117" s="222"/>
      <c r="VJV117" s="222"/>
      <c r="VJW117" s="222"/>
      <c r="VJX117" s="222"/>
      <c r="VJY117" s="222"/>
      <c r="VJZ117" s="222"/>
      <c r="VKA117" s="222"/>
      <c r="VKB117" s="222"/>
      <c r="VKC117" s="222"/>
      <c r="VKD117" s="222"/>
      <c r="VKE117" s="222"/>
      <c r="VKF117" s="222"/>
      <c r="VKG117" s="222"/>
      <c r="VKH117" s="222"/>
      <c r="VKI117" s="222"/>
      <c r="VKJ117" s="222"/>
      <c r="VKK117" s="222"/>
      <c r="VKL117" s="222"/>
      <c r="VKM117" s="222"/>
      <c r="VKN117" s="222"/>
      <c r="VKO117" s="222"/>
      <c r="VKP117" s="222"/>
      <c r="VKQ117" s="222"/>
      <c r="VKR117" s="222"/>
      <c r="VKS117" s="222"/>
      <c r="VKT117" s="222"/>
      <c r="VKU117" s="222"/>
      <c r="VKV117" s="222"/>
      <c r="VKW117" s="222"/>
      <c r="VKX117" s="222"/>
      <c r="VKY117" s="222"/>
      <c r="VKZ117" s="222"/>
      <c r="VLA117" s="222"/>
      <c r="VLB117" s="222"/>
      <c r="VLC117" s="222"/>
      <c r="VLD117" s="222"/>
      <c r="VLE117" s="222"/>
      <c r="VLF117" s="222"/>
      <c r="VLG117" s="222"/>
      <c r="VLH117" s="222"/>
      <c r="VLI117" s="222"/>
      <c r="VLJ117" s="222"/>
      <c r="VLK117" s="222"/>
      <c r="VLL117" s="222"/>
      <c r="VLM117" s="222"/>
      <c r="VLN117" s="222"/>
      <c r="VLO117" s="222"/>
      <c r="VLP117" s="222"/>
      <c r="VLQ117" s="222"/>
      <c r="VLR117" s="222"/>
      <c r="VLS117" s="222"/>
      <c r="VLT117" s="222"/>
      <c r="VLU117" s="222"/>
      <c r="VLV117" s="222"/>
      <c r="VLW117" s="222"/>
      <c r="VLX117" s="222"/>
      <c r="VLY117" s="222"/>
      <c r="VLZ117" s="222"/>
      <c r="VMA117" s="222"/>
      <c r="VMB117" s="222"/>
      <c r="VMC117" s="222"/>
      <c r="VMD117" s="222"/>
      <c r="VME117" s="222"/>
      <c r="VMF117" s="222"/>
      <c r="VMG117" s="222"/>
      <c r="VMH117" s="222"/>
      <c r="VMI117" s="222"/>
      <c r="VMJ117" s="222"/>
      <c r="VMK117" s="222"/>
      <c r="VML117" s="222"/>
      <c r="VMM117" s="222"/>
      <c r="VMN117" s="222"/>
      <c r="VMO117" s="222"/>
      <c r="VMP117" s="222"/>
      <c r="VMQ117" s="222"/>
      <c r="VMR117" s="222"/>
      <c r="VMS117" s="222"/>
      <c r="VMT117" s="222"/>
      <c r="VMU117" s="222"/>
      <c r="VMV117" s="222"/>
      <c r="VMW117" s="222"/>
      <c r="VMX117" s="222"/>
      <c r="VMY117" s="222"/>
      <c r="VMZ117" s="222"/>
      <c r="VNA117" s="222"/>
      <c r="VNB117" s="222"/>
      <c r="VNC117" s="222"/>
      <c r="VND117" s="222"/>
      <c r="VNE117" s="222"/>
      <c r="VNF117" s="222"/>
      <c r="VNG117" s="222"/>
      <c r="VNH117" s="222"/>
      <c r="VNI117" s="222"/>
      <c r="VNJ117" s="222"/>
      <c r="VNK117" s="222"/>
      <c r="VNL117" s="222"/>
      <c r="VNM117" s="222"/>
      <c r="VNN117" s="222"/>
      <c r="VNO117" s="222"/>
      <c r="VNP117" s="222"/>
      <c r="VNQ117" s="222"/>
      <c r="VNR117" s="222"/>
      <c r="VNS117" s="222"/>
      <c r="VNT117" s="222"/>
      <c r="VNU117" s="222"/>
      <c r="VNV117" s="222"/>
      <c r="VNW117" s="222"/>
      <c r="VNX117" s="222"/>
      <c r="VNY117" s="222"/>
      <c r="VNZ117" s="222"/>
      <c r="VOA117" s="222"/>
      <c r="VOB117" s="222"/>
      <c r="VOC117" s="222"/>
      <c r="VOD117" s="222"/>
      <c r="VOE117" s="222"/>
      <c r="VOF117" s="222"/>
      <c r="VOG117" s="222"/>
      <c r="VOH117" s="222"/>
      <c r="VOI117" s="222"/>
      <c r="VOJ117" s="222"/>
      <c r="VOK117" s="222"/>
      <c r="VOL117" s="222"/>
      <c r="VOM117" s="222"/>
      <c r="VON117" s="222"/>
      <c r="VOO117" s="222"/>
      <c r="VOP117" s="222"/>
      <c r="VOQ117" s="222"/>
      <c r="VOR117" s="222"/>
      <c r="VOS117" s="222"/>
      <c r="VOT117" s="222"/>
      <c r="VOU117" s="222"/>
      <c r="VOV117" s="222"/>
      <c r="VOW117" s="222"/>
      <c r="VOX117" s="222"/>
      <c r="VOY117" s="222"/>
      <c r="VOZ117" s="222"/>
      <c r="VPA117" s="222"/>
      <c r="VPB117" s="222"/>
      <c r="VPC117" s="222"/>
      <c r="VPD117" s="222"/>
      <c r="VPE117" s="222"/>
      <c r="VPF117" s="222"/>
      <c r="VPG117" s="222"/>
      <c r="VPH117" s="222"/>
      <c r="VPI117" s="222"/>
      <c r="VPJ117" s="222"/>
      <c r="VPK117" s="222"/>
      <c r="VPL117" s="222"/>
      <c r="VPM117" s="222"/>
      <c r="VPN117" s="222"/>
      <c r="VPO117" s="222"/>
      <c r="VPP117" s="222"/>
      <c r="VPQ117" s="222"/>
      <c r="VPR117" s="222"/>
      <c r="VPS117" s="222"/>
      <c r="VPT117" s="222"/>
      <c r="VPU117" s="222"/>
      <c r="VPV117" s="222"/>
      <c r="VPW117" s="222"/>
      <c r="VPX117" s="222"/>
      <c r="VPY117" s="222"/>
      <c r="VPZ117" s="222"/>
      <c r="VQA117" s="222"/>
      <c r="VQB117" s="222"/>
      <c r="VQC117" s="222"/>
      <c r="VQD117" s="222"/>
      <c r="VQE117" s="222"/>
      <c r="VQF117" s="222"/>
      <c r="VQG117" s="222"/>
      <c r="VQH117" s="222"/>
      <c r="VQI117" s="222"/>
      <c r="VQJ117" s="222"/>
      <c r="VQK117" s="222"/>
      <c r="VQL117" s="222"/>
      <c r="VQM117" s="222"/>
      <c r="VQN117" s="222"/>
      <c r="VQO117" s="222"/>
      <c r="VQP117" s="222"/>
      <c r="VQQ117" s="222"/>
      <c r="VQR117" s="222"/>
      <c r="VQS117" s="222"/>
      <c r="VQT117" s="222"/>
      <c r="VQU117" s="222"/>
      <c r="VQV117" s="222"/>
      <c r="VQW117" s="222"/>
      <c r="VQX117" s="222"/>
      <c r="VQY117" s="222"/>
      <c r="VQZ117" s="222"/>
      <c r="VRA117" s="222"/>
      <c r="VRB117" s="222"/>
      <c r="VRC117" s="222"/>
      <c r="VRD117" s="222"/>
      <c r="VRE117" s="222"/>
      <c r="VRF117" s="222"/>
      <c r="VRG117" s="222"/>
      <c r="VRH117" s="222"/>
      <c r="VRI117" s="222"/>
      <c r="VRJ117" s="222"/>
      <c r="VRK117" s="222"/>
      <c r="VRL117" s="222"/>
      <c r="VRM117" s="222"/>
      <c r="VRN117" s="222"/>
      <c r="VRO117" s="222"/>
      <c r="VRP117" s="222"/>
      <c r="VRQ117" s="222"/>
      <c r="VRR117" s="222"/>
      <c r="VRS117" s="222"/>
      <c r="VRT117" s="222"/>
      <c r="VRU117" s="222"/>
      <c r="VRV117" s="222"/>
      <c r="VRW117" s="222"/>
      <c r="VRX117" s="222"/>
      <c r="VRY117" s="222"/>
      <c r="VRZ117" s="222"/>
      <c r="VSA117" s="222"/>
      <c r="VSB117" s="222"/>
      <c r="VSC117" s="222"/>
      <c r="VSD117" s="222"/>
      <c r="VSE117" s="222"/>
      <c r="VSF117" s="222"/>
      <c r="VSG117" s="222"/>
      <c r="VSH117" s="222"/>
      <c r="VSI117" s="222"/>
      <c r="VSJ117" s="222"/>
      <c r="VSK117" s="222"/>
      <c r="VSL117" s="222"/>
      <c r="VSM117" s="222"/>
      <c r="VSN117" s="222"/>
      <c r="VSO117" s="222"/>
      <c r="VSP117" s="222"/>
      <c r="VSQ117" s="222"/>
      <c r="VSR117" s="222"/>
      <c r="VSS117" s="222"/>
      <c r="VST117" s="222"/>
      <c r="VSU117" s="222"/>
      <c r="VSV117" s="222"/>
      <c r="VSW117" s="222"/>
      <c r="VSX117" s="222"/>
      <c r="VSY117" s="222"/>
      <c r="VSZ117" s="222"/>
      <c r="VTA117" s="222"/>
      <c r="VTB117" s="222"/>
      <c r="VTC117" s="222"/>
      <c r="VTD117" s="222"/>
      <c r="VTE117" s="222"/>
      <c r="VTF117" s="222"/>
      <c r="VTG117" s="222"/>
      <c r="VTH117" s="222"/>
      <c r="VTI117" s="222"/>
      <c r="VTJ117" s="222"/>
      <c r="VTK117" s="222"/>
      <c r="VTL117" s="222"/>
      <c r="VTM117" s="222"/>
      <c r="VTN117" s="222"/>
      <c r="VTO117" s="222"/>
      <c r="VTP117" s="222"/>
      <c r="VTQ117" s="222"/>
      <c r="VTR117" s="222"/>
      <c r="VTS117" s="222"/>
      <c r="VTT117" s="222"/>
      <c r="VTU117" s="222"/>
      <c r="VTV117" s="222"/>
      <c r="VTW117" s="222"/>
      <c r="VTX117" s="222"/>
      <c r="VTY117" s="222"/>
      <c r="VTZ117" s="222"/>
      <c r="VUA117" s="222"/>
      <c r="VUB117" s="222"/>
      <c r="VUC117" s="222"/>
      <c r="VUD117" s="222"/>
      <c r="VUE117" s="222"/>
      <c r="VUF117" s="222"/>
      <c r="VUG117" s="222"/>
      <c r="VUH117" s="222"/>
      <c r="VUI117" s="222"/>
      <c r="VUJ117" s="222"/>
      <c r="VUK117" s="222"/>
      <c r="VUL117" s="222"/>
      <c r="VUM117" s="222"/>
      <c r="VUN117" s="222"/>
      <c r="VUO117" s="222"/>
      <c r="VUP117" s="222"/>
      <c r="VUQ117" s="222"/>
      <c r="VUR117" s="222"/>
      <c r="VUS117" s="222"/>
      <c r="VUT117" s="222"/>
      <c r="VUU117" s="222"/>
      <c r="VUV117" s="222"/>
      <c r="VUW117" s="222"/>
      <c r="VUX117" s="222"/>
      <c r="VUY117" s="222"/>
      <c r="VUZ117" s="222"/>
      <c r="VVA117" s="222"/>
      <c r="VVB117" s="222"/>
      <c r="VVC117" s="222"/>
      <c r="VVD117" s="222"/>
      <c r="VVE117" s="222"/>
      <c r="VVF117" s="222"/>
      <c r="VVG117" s="222"/>
      <c r="VVH117" s="222"/>
      <c r="VVI117" s="222"/>
      <c r="VVJ117" s="222"/>
      <c r="VVK117" s="222"/>
      <c r="VVL117" s="222"/>
      <c r="VVM117" s="222"/>
      <c r="VVN117" s="222"/>
      <c r="VVO117" s="222"/>
      <c r="VVP117" s="222"/>
      <c r="VVQ117" s="222"/>
      <c r="VVR117" s="222"/>
      <c r="VVS117" s="222"/>
      <c r="VVT117" s="222"/>
      <c r="VVU117" s="222"/>
      <c r="VVV117" s="222"/>
      <c r="VVW117" s="222"/>
      <c r="VVX117" s="222"/>
      <c r="VVY117" s="222"/>
      <c r="VVZ117" s="222"/>
      <c r="VWA117" s="222"/>
      <c r="VWB117" s="222"/>
      <c r="VWC117" s="222"/>
      <c r="VWD117" s="222"/>
      <c r="VWE117" s="222"/>
      <c r="VWF117" s="222"/>
      <c r="VWG117" s="222"/>
      <c r="VWH117" s="222"/>
      <c r="VWI117" s="222"/>
      <c r="VWJ117" s="222"/>
      <c r="VWK117" s="222"/>
      <c r="VWL117" s="222"/>
      <c r="VWM117" s="222"/>
      <c r="VWN117" s="222"/>
      <c r="VWO117" s="222"/>
      <c r="VWP117" s="222"/>
      <c r="VWQ117" s="222"/>
      <c r="VWR117" s="222"/>
      <c r="VWS117" s="222"/>
      <c r="VWT117" s="222"/>
      <c r="VWU117" s="222"/>
      <c r="VWV117" s="222"/>
      <c r="VWW117" s="222"/>
      <c r="VWX117" s="222"/>
      <c r="VWY117" s="222"/>
      <c r="VWZ117" s="222"/>
      <c r="VXA117" s="222"/>
      <c r="VXB117" s="222"/>
      <c r="VXC117" s="222"/>
      <c r="VXD117" s="222"/>
      <c r="VXE117" s="222"/>
      <c r="VXF117" s="222"/>
      <c r="VXG117" s="222"/>
      <c r="VXH117" s="222"/>
      <c r="VXI117" s="222"/>
      <c r="VXJ117" s="222"/>
      <c r="VXK117" s="222"/>
      <c r="VXL117" s="222"/>
      <c r="VXM117" s="222"/>
      <c r="VXN117" s="222"/>
      <c r="VXO117" s="222"/>
      <c r="VXP117" s="222"/>
      <c r="VXQ117" s="222"/>
      <c r="VXR117" s="222"/>
      <c r="VXS117" s="222"/>
      <c r="VXT117" s="222"/>
      <c r="VXU117" s="222"/>
      <c r="VXV117" s="222"/>
      <c r="VXW117" s="222"/>
      <c r="VXX117" s="222"/>
      <c r="VXY117" s="222"/>
      <c r="VXZ117" s="222"/>
      <c r="VYA117" s="222"/>
      <c r="VYB117" s="222"/>
      <c r="VYC117" s="222"/>
      <c r="VYD117" s="222"/>
      <c r="VYE117" s="222"/>
      <c r="VYF117" s="222"/>
      <c r="VYG117" s="222"/>
      <c r="VYH117" s="222"/>
      <c r="VYI117" s="222"/>
      <c r="VYJ117" s="222"/>
      <c r="VYK117" s="222"/>
      <c r="VYL117" s="222"/>
      <c r="VYM117" s="222"/>
      <c r="VYN117" s="222"/>
      <c r="VYO117" s="222"/>
      <c r="VYP117" s="222"/>
      <c r="VYQ117" s="222"/>
      <c r="VYR117" s="222"/>
      <c r="VYS117" s="222"/>
      <c r="VYT117" s="222"/>
      <c r="VYU117" s="222"/>
      <c r="VYV117" s="222"/>
      <c r="VYW117" s="222"/>
      <c r="VYX117" s="222"/>
      <c r="VYY117" s="222"/>
      <c r="VYZ117" s="222"/>
      <c r="VZA117" s="222"/>
      <c r="VZB117" s="222"/>
      <c r="VZC117" s="222"/>
      <c r="VZD117" s="222"/>
      <c r="VZE117" s="222"/>
      <c r="VZF117" s="222"/>
      <c r="VZG117" s="222"/>
      <c r="VZH117" s="222"/>
      <c r="VZI117" s="222"/>
      <c r="VZJ117" s="222"/>
      <c r="VZK117" s="222"/>
      <c r="VZL117" s="222"/>
      <c r="VZM117" s="222"/>
      <c r="VZN117" s="222"/>
      <c r="VZO117" s="222"/>
      <c r="VZP117" s="222"/>
      <c r="VZQ117" s="222"/>
      <c r="VZR117" s="222"/>
      <c r="VZS117" s="222"/>
      <c r="VZT117" s="222"/>
      <c r="VZU117" s="222"/>
      <c r="VZV117" s="222"/>
      <c r="VZW117" s="222"/>
      <c r="VZX117" s="222"/>
      <c r="VZY117" s="222"/>
      <c r="VZZ117" s="222"/>
      <c r="WAA117" s="222"/>
      <c r="WAB117" s="222"/>
      <c r="WAC117" s="222"/>
      <c r="WAD117" s="222"/>
      <c r="WAE117" s="222"/>
      <c r="WAF117" s="222"/>
      <c r="WAG117" s="222"/>
      <c r="WAH117" s="222"/>
      <c r="WAI117" s="222"/>
      <c r="WAJ117" s="222"/>
      <c r="WAK117" s="222"/>
      <c r="WAL117" s="222"/>
      <c r="WAM117" s="222"/>
      <c r="WAN117" s="222"/>
      <c r="WAO117" s="222"/>
      <c r="WAP117" s="222"/>
      <c r="WAQ117" s="222"/>
      <c r="WAR117" s="222"/>
      <c r="WAS117" s="222"/>
      <c r="WAT117" s="222"/>
      <c r="WAU117" s="222"/>
      <c r="WAV117" s="222"/>
      <c r="WAW117" s="222"/>
      <c r="WAX117" s="222"/>
      <c r="WAY117" s="222"/>
      <c r="WAZ117" s="222"/>
      <c r="WBA117" s="222"/>
      <c r="WBB117" s="222"/>
      <c r="WBC117" s="222"/>
      <c r="WBD117" s="222"/>
      <c r="WBE117" s="222"/>
      <c r="WBF117" s="222"/>
      <c r="WBG117" s="222"/>
      <c r="WBH117" s="222"/>
      <c r="WBI117" s="222"/>
      <c r="WBJ117" s="222"/>
      <c r="WBK117" s="222"/>
      <c r="WBL117" s="222"/>
      <c r="WBM117" s="222"/>
      <c r="WBN117" s="222"/>
      <c r="WBO117" s="222"/>
      <c r="WBP117" s="222"/>
      <c r="WBQ117" s="222"/>
      <c r="WBR117" s="222"/>
      <c r="WBS117" s="222"/>
      <c r="WBT117" s="222"/>
      <c r="WBU117" s="222"/>
      <c r="WBV117" s="222"/>
      <c r="WBW117" s="222"/>
      <c r="WBX117" s="222"/>
      <c r="WBY117" s="222"/>
      <c r="WBZ117" s="222"/>
      <c r="WCA117" s="222"/>
      <c r="WCB117" s="222"/>
      <c r="WCC117" s="222"/>
      <c r="WCD117" s="222"/>
      <c r="WCE117" s="222"/>
      <c r="WCF117" s="222"/>
      <c r="WCG117" s="222"/>
      <c r="WCH117" s="222"/>
      <c r="WCI117" s="222"/>
      <c r="WCJ117" s="222"/>
      <c r="WCK117" s="222"/>
      <c r="WCL117" s="222"/>
      <c r="WCM117" s="222"/>
      <c r="WCN117" s="222"/>
      <c r="WCO117" s="222"/>
      <c r="WCP117" s="222"/>
      <c r="WCQ117" s="222"/>
      <c r="WCR117" s="222"/>
      <c r="WCS117" s="222"/>
      <c r="WCT117" s="222"/>
      <c r="WCU117" s="222"/>
      <c r="WCV117" s="222"/>
      <c r="WCW117" s="222"/>
      <c r="WCX117" s="222"/>
      <c r="WCY117" s="222"/>
      <c r="WCZ117" s="222"/>
      <c r="WDA117" s="222"/>
      <c r="WDB117" s="222"/>
      <c r="WDC117" s="222"/>
      <c r="WDD117" s="222"/>
      <c r="WDE117" s="222"/>
      <c r="WDF117" s="222"/>
      <c r="WDG117" s="222"/>
      <c r="WDH117" s="222"/>
      <c r="WDI117" s="222"/>
      <c r="WDJ117" s="222"/>
      <c r="WDK117" s="222"/>
      <c r="WDL117" s="222"/>
      <c r="WDM117" s="222"/>
      <c r="WDN117" s="222"/>
      <c r="WDO117" s="222"/>
      <c r="WDP117" s="222"/>
      <c r="WDQ117" s="222"/>
      <c r="WDR117" s="222"/>
      <c r="WDS117" s="222"/>
      <c r="WDT117" s="222"/>
      <c r="WDU117" s="222"/>
      <c r="WDV117" s="222"/>
      <c r="WDW117" s="222"/>
      <c r="WDX117" s="222"/>
      <c r="WDY117" s="222"/>
      <c r="WDZ117" s="222"/>
      <c r="WEA117" s="222"/>
      <c r="WEB117" s="222"/>
      <c r="WEC117" s="222"/>
      <c r="WED117" s="222"/>
      <c r="WEE117" s="222"/>
      <c r="WEF117" s="222"/>
      <c r="WEG117" s="222"/>
      <c r="WEH117" s="222"/>
      <c r="WEI117" s="222"/>
      <c r="WEJ117" s="222"/>
      <c r="WEK117" s="222"/>
      <c r="WEL117" s="222"/>
      <c r="WEM117" s="222"/>
      <c r="WEN117" s="222"/>
      <c r="WEO117" s="222"/>
      <c r="WEP117" s="222"/>
      <c r="WEQ117" s="222"/>
      <c r="WER117" s="222"/>
      <c r="WES117" s="222"/>
      <c r="WET117" s="222"/>
      <c r="WEU117" s="222"/>
      <c r="WEV117" s="222"/>
      <c r="WEW117" s="222"/>
      <c r="WEX117" s="222"/>
      <c r="WEY117" s="222"/>
      <c r="WEZ117" s="222"/>
      <c r="WFA117" s="222"/>
      <c r="WFB117" s="222"/>
      <c r="WFC117" s="222"/>
      <c r="WFD117" s="222"/>
      <c r="WFE117" s="222"/>
      <c r="WFF117" s="222"/>
      <c r="WFG117" s="222"/>
      <c r="WFH117" s="222"/>
      <c r="WFI117" s="222"/>
      <c r="WFJ117" s="222"/>
      <c r="WFK117" s="222"/>
      <c r="WFL117" s="222"/>
      <c r="WFM117" s="222"/>
      <c r="WFN117" s="222"/>
      <c r="WFO117" s="222"/>
      <c r="WFP117" s="222"/>
      <c r="WFQ117" s="222"/>
      <c r="WFR117" s="222"/>
      <c r="WFS117" s="222"/>
      <c r="WFT117" s="222"/>
      <c r="WFU117" s="222"/>
      <c r="WFV117" s="222"/>
      <c r="WFW117" s="222"/>
      <c r="WFX117" s="222"/>
      <c r="WFY117" s="222"/>
      <c r="WFZ117" s="222"/>
      <c r="WGA117" s="222"/>
      <c r="WGB117" s="222"/>
      <c r="WGC117" s="222"/>
      <c r="WGD117" s="222"/>
      <c r="WGE117" s="222"/>
      <c r="WGF117" s="222"/>
      <c r="WGG117" s="222"/>
      <c r="WGH117" s="222"/>
      <c r="WGI117" s="222"/>
      <c r="WGJ117" s="222"/>
      <c r="WGK117" s="222"/>
      <c r="WGL117" s="222"/>
      <c r="WGM117" s="222"/>
      <c r="WGN117" s="222"/>
      <c r="WGO117" s="222"/>
      <c r="WGP117" s="222"/>
      <c r="WGQ117" s="222"/>
      <c r="WGR117" s="222"/>
      <c r="WGS117" s="222"/>
      <c r="WGT117" s="222"/>
      <c r="WGU117" s="222"/>
      <c r="WGV117" s="222"/>
      <c r="WGW117" s="222"/>
      <c r="WGX117" s="222"/>
      <c r="WGY117" s="222"/>
      <c r="WGZ117" s="222"/>
      <c r="WHA117" s="222"/>
      <c r="WHB117" s="222"/>
      <c r="WHC117" s="222"/>
      <c r="WHD117" s="222"/>
      <c r="WHE117" s="222"/>
      <c r="WHF117" s="222"/>
      <c r="WHG117" s="222"/>
      <c r="WHH117" s="222"/>
      <c r="WHI117" s="222"/>
      <c r="WHJ117" s="222"/>
      <c r="WHK117" s="222"/>
      <c r="WHL117" s="222"/>
      <c r="WHM117" s="222"/>
      <c r="WHN117" s="222"/>
      <c r="WHO117" s="222"/>
      <c r="WHP117" s="222"/>
      <c r="WHQ117" s="222"/>
      <c r="WHR117" s="222"/>
      <c r="WHS117" s="222"/>
      <c r="WHT117" s="222"/>
      <c r="WHU117" s="222"/>
      <c r="WHV117" s="222"/>
      <c r="WHW117" s="222"/>
      <c r="WHX117" s="222"/>
      <c r="WHY117" s="222"/>
      <c r="WHZ117" s="222"/>
      <c r="WIA117" s="222"/>
      <c r="WIB117" s="222"/>
      <c r="WIC117" s="222"/>
      <c r="WID117" s="222"/>
      <c r="WIE117" s="222"/>
      <c r="WIF117" s="222"/>
      <c r="WIG117" s="222"/>
      <c r="WIH117" s="222"/>
      <c r="WII117" s="222"/>
      <c r="WIJ117" s="222"/>
      <c r="WIK117" s="222"/>
      <c r="WIL117" s="222"/>
      <c r="WIM117" s="222"/>
      <c r="WIN117" s="222"/>
      <c r="WIO117" s="222"/>
      <c r="WIP117" s="222"/>
      <c r="WIQ117" s="222"/>
      <c r="WIR117" s="222"/>
      <c r="WIS117" s="222"/>
      <c r="WIT117" s="222"/>
      <c r="WIU117" s="222"/>
      <c r="WIV117" s="222"/>
      <c r="WIW117" s="222"/>
      <c r="WIX117" s="222"/>
      <c r="WIY117" s="222"/>
      <c r="WIZ117" s="222"/>
      <c r="WJA117" s="222"/>
      <c r="WJB117" s="222"/>
      <c r="WJC117" s="222"/>
      <c r="WJD117" s="222"/>
      <c r="WJE117" s="222"/>
      <c r="WJF117" s="222"/>
      <c r="WJG117" s="222"/>
      <c r="WJH117" s="222"/>
      <c r="WJI117" s="222"/>
      <c r="WJJ117" s="222"/>
      <c r="WJK117" s="222"/>
      <c r="WJL117" s="222"/>
      <c r="WJM117" s="222"/>
      <c r="WJN117" s="222"/>
      <c r="WJO117" s="222"/>
      <c r="WJP117" s="222"/>
      <c r="WJQ117" s="222"/>
      <c r="WJR117" s="222"/>
      <c r="WJS117" s="222"/>
      <c r="WJT117" s="222"/>
      <c r="WJU117" s="222"/>
      <c r="WJV117" s="222"/>
      <c r="WJW117" s="222"/>
      <c r="WJX117" s="222"/>
      <c r="WJY117" s="222"/>
      <c r="WJZ117" s="222"/>
      <c r="WKA117" s="222"/>
      <c r="WKB117" s="222"/>
      <c r="WKC117" s="222"/>
      <c r="WKD117" s="222"/>
      <c r="WKE117" s="222"/>
      <c r="WKF117" s="222"/>
      <c r="WKG117" s="222"/>
      <c r="WKH117" s="222"/>
      <c r="WKI117" s="222"/>
      <c r="WKJ117" s="222"/>
      <c r="WKK117" s="222"/>
      <c r="WKL117" s="222"/>
      <c r="WKM117" s="222"/>
      <c r="WKN117" s="222"/>
      <c r="WKO117" s="222"/>
      <c r="WKP117" s="222"/>
      <c r="WKQ117" s="222"/>
      <c r="WKR117" s="222"/>
      <c r="WKS117" s="222"/>
      <c r="WKT117" s="222"/>
      <c r="WKU117" s="222"/>
      <c r="WKV117" s="222"/>
      <c r="WKW117" s="222"/>
      <c r="WKX117" s="222"/>
      <c r="WKY117" s="222"/>
      <c r="WKZ117" s="222"/>
      <c r="WLA117" s="222"/>
      <c r="WLB117" s="222"/>
      <c r="WLC117" s="222"/>
      <c r="WLD117" s="222"/>
      <c r="WLE117" s="222"/>
      <c r="WLF117" s="222"/>
      <c r="WLG117" s="222"/>
      <c r="WLH117" s="222"/>
      <c r="WLI117" s="222"/>
      <c r="WLJ117" s="222"/>
      <c r="WLK117" s="222"/>
      <c r="WLL117" s="222"/>
      <c r="WLM117" s="222"/>
      <c r="WLN117" s="222"/>
      <c r="WLO117" s="222"/>
      <c r="WLP117" s="222"/>
      <c r="WLQ117" s="222"/>
      <c r="WLR117" s="222"/>
      <c r="WLS117" s="222"/>
      <c r="WLT117" s="222"/>
      <c r="WLU117" s="222"/>
      <c r="WLV117" s="222"/>
      <c r="WLW117" s="222"/>
      <c r="WLX117" s="222"/>
      <c r="WLY117" s="222"/>
      <c r="WLZ117" s="222"/>
      <c r="WMA117" s="222"/>
      <c r="WMB117" s="222"/>
      <c r="WMC117" s="222"/>
      <c r="WMD117" s="222"/>
      <c r="WME117" s="222"/>
      <c r="WMF117" s="222"/>
      <c r="WMG117" s="222"/>
      <c r="WMH117" s="222"/>
      <c r="WMI117" s="222"/>
      <c r="WMJ117" s="222"/>
      <c r="WMK117" s="222"/>
      <c r="WML117" s="222"/>
      <c r="WMM117" s="222"/>
      <c r="WMN117" s="222"/>
      <c r="WMO117" s="222"/>
      <c r="WMP117" s="222"/>
      <c r="WMQ117" s="222"/>
      <c r="WMR117" s="222"/>
      <c r="WMS117" s="222"/>
      <c r="WMT117" s="222"/>
      <c r="WMU117" s="222"/>
      <c r="WMV117" s="222"/>
      <c r="WMW117" s="222"/>
      <c r="WMX117" s="222"/>
      <c r="WMY117" s="222"/>
      <c r="WMZ117" s="222"/>
      <c r="WNA117" s="222"/>
      <c r="WNB117" s="222"/>
      <c r="WNC117" s="222"/>
      <c r="WND117" s="222"/>
      <c r="WNE117" s="222"/>
      <c r="WNF117" s="222"/>
      <c r="WNG117" s="222"/>
      <c r="WNH117" s="222"/>
      <c r="WNI117" s="222"/>
      <c r="WNJ117" s="222"/>
      <c r="WNK117" s="222"/>
      <c r="WNL117" s="222"/>
      <c r="WNM117" s="222"/>
      <c r="WNN117" s="222"/>
      <c r="WNO117" s="222"/>
      <c r="WNP117" s="222"/>
      <c r="WNQ117" s="222"/>
      <c r="WNR117" s="222"/>
      <c r="WNS117" s="222"/>
      <c r="WNT117" s="222"/>
      <c r="WNU117" s="222"/>
      <c r="WNV117" s="222"/>
      <c r="WNW117" s="222"/>
      <c r="WNX117" s="222"/>
      <c r="WNY117" s="222"/>
      <c r="WNZ117" s="222"/>
      <c r="WOA117" s="222"/>
      <c r="WOB117" s="222"/>
      <c r="WOC117" s="222"/>
      <c r="WOD117" s="222"/>
      <c r="WOE117" s="222"/>
      <c r="WOF117" s="222"/>
      <c r="WOG117" s="222"/>
      <c r="WOH117" s="222"/>
      <c r="WOI117" s="222"/>
      <c r="WOJ117" s="222"/>
      <c r="WOK117" s="222"/>
      <c r="WOL117" s="222"/>
      <c r="WOM117" s="222"/>
      <c r="WON117" s="222"/>
      <c r="WOO117" s="222"/>
      <c r="WOP117" s="222"/>
      <c r="WOQ117" s="222"/>
      <c r="WOR117" s="222"/>
      <c r="WOS117" s="222"/>
      <c r="WOT117" s="222"/>
      <c r="WOU117" s="222"/>
      <c r="WOV117" s="222"/>
      <c r="WOW117" s="222"/>
      <c r="WOX117" s="222"/>
      <c r="WOY117" s="222"/>
      <c r="WOZ117" s="222"/>
      <c r="WPA117" s="222"/>
      <c r="WPB117" s="222"/>
      <c r="WPC117" s="222"/>
      <c r="WPD117" s="222"/>
      <c r="WPE117" s="222"/>
      <c r="WPF117" s="222"/>
      <c r="WPG117" s="222"/>
      <c r="WPH117" s="222"/>
      <c r="WPI117" s="222"/>
      <c r="WPJ117" s="222"/>
      <c r="WPK117" s="222"/>
      <c r="WPL117" s="222"/>
      <c r="WPM117" s="222"/>
      <c r="WPN117" s="222"/>
      <c r="WPO117" s="222"/>
      <c r="WPP117" s="222"/>
      <c r="WPQ117" s="222"/>
      <c r="WPR117" s="222"/>
      <c r="WPS117" s="222"/>
      <c r="WPT117" s="222"/>
      <c r="WPU117" s="222"/>
      <c r="WPV117" s="222"/>
      <c r="WPW117" s="222"/>
      <c r="WPX117" s="222"/>
      <c r="WPY117" s="222"/>
      <c r="WPZ117" s="222"/>
      <c r="WQA117" s="222"/>
      <c r="WQB117" s="222"/>
      <c r="WQC117" s="222"/>
      <c r="WQD117" s="222"/>
      <c r="WQE117" s="222"/>
      <c r="WQF117" s="222"/>
      <c r="WQG117" s="222"/>
      <c r="WQH117" s="222"/>
      <c r="WQI117" s="222"/>
      <c r="WQJ117" s="222"/>
      <c r="WQK117" s="222"/>
      <c r="WQL117" s="222"/>
      <c r="WQM117" s="222"/>
      <c r="WQN117" s="222"/>
      <c r="WQO117" s="222"/>
      <c r="WQP117" s="222"/>
      <c r="WQQ117" s="222"/>
      <c r="WQR117" s="222"/>
      <c r="WQS117" s="222"/>
      <c r="WQT117" s="222"/>
      <c r="WQU117" s="222"/>
      <c r="WQV117" s="222"/>
      <c r="WQW117" s="222"/>
      <c r="WQX117" s="222"/>
      <c r="WQY117" s="222"/>
      <c r="WQZ117" s="222"/>
      <c r="WRA117" s="222"/>
      <c r="WRB117" s="222"/>
      <c r="WRC117" s="222"/>
      <c r="WRD117" s="222"/>
      <c r="WRE117" s="222"/>
      <c r="WRF117" s="222"/>
      <c r="WRG117" s="222"/>
      <c r="WRH117" s="222"/>
      <c r="WRI117" s="222"/>
      <c r="WRJ117" s="222"/>
      <c r="WRK117" s="222"/>
      <c r="WRL117" s="222"/>
      <c r="WRM117" s="222"/>
      <c r="WRN117" s="222"/>
      <c r="WRO117" s="222"/>
      <c r="WRP117" s="222"/>
      <c r="WRQ117" s="222"/>
      <c r="WRR117" s="222"/>
      <c r="WRS117" s="222"/>
      <c r="WRT117" s="222"/>
      <c r="WRU117" s="222"/>
      <c r="WRV117" s="222"/>
      <c r="WRW117" s="222"/>
      <c r="WRX117" s="222"/>
      <c r="WRY117" s="222"/>
      <c r="WRZ117" s="222"/>
      <c r="WSA117" s="222"/>
      <c r="WSB117" s="222"/>
      <c r="WSC117" s="222"/>
      <c r="WSD117" s="222"/>
      <c r="WSE117" s="222"/>
      <c r="WSF117" s="222"/>
      <c r="WSG117" s="222"/>
      <c r="WSH117" s="222"/>
      <c r="WSI117" s="222"/>
      <c r="WSJ117" s="222"/>
      <c r="WSK117" s="222"/>
      <c r="WSL117" s="222"/>
      <c r="WSM117" s="222"/>
      <c r="WSN117" s="222"/>
      <c r="WSO117" s="222"/>
      <c r="WSP117" s="222"/>
      <c r="WSQ117" s="222"/>
      <c r="WSR117" s="222"/>
      <c r="WSS117" s="222"/>
      <c r="WST117" s="222"/>
      <c r="WSU117" s="222"/>
      <c r="WSV117" s="222"/>
      <c r="WSW117" s="222"/>
      <c r="WSX117" s="222"/>
      <c r="WSY117" s="222"/>
      <c r="WSZ117" s="222"/>
      <c r="WTA117" s="222"/>
      <c r="WTB117" s="222"/>
      <c r="WTC117" s="222"/>
      <c r="WTD117" s="222"/>
      <c r="WTE117" s="222"/>
      <c r="WTF117" s="222"/>
      <c r="WTG117" s="222"/>
      <c r="WTH117" s="222"/>
      <c r="WTI117" s="222"/>
      <c r="WTJ117" s="222"/>
      <c r="WTK117" s="222"/>
      <c r="WTL117" s="222"/>
      <c r="WTM117" s="222"/>
      <c r="WTN117" s="222"/>
      <c r="WTO117" s="222"/>
      <c r="WTP117" s="222"/>
      <c r="WTQ117" s="222"/>
      <c r="WTR117" s="222"/>
      <c r="WTS117" s="222"/>
      <c r="WTT117" s="222"/>
      <c r="WTU117" s="222"/>
      <c r="WTV117" s="222"/>
      <c r="WTW117" s="222"/>
      <c r="WTX117" s="222"/>
      <c r="WTY117" s="222"/>
      <c r="WTZ117" s="222"/>
      <c r="WUA117" s="222"/>
      <c r="WUB117" s="222"/>
      <c r="WUC117" s="222"/>
      <c r="WUD117" s="222"/>
      <c r="WUE117" s="222"/>
      <c r="WUF117" s="222"/>
      <c r="WUG117" s="222"/>
      <c r="WUH117" s="222"/>
      <c r="WUI117" s="222"/>
      <c r="WUJ117" s="222"/>
      <c r="WUK117" s="222"/>
      <c r="WUL117" s="222"/>
      <c r="WUM117" s="222"/>
      <c r="WUN117" s="222"/>
      <c r="WUO117" s="222"/>
      <c r="WUP117" s="222"/>
      <c r="WUQ117" s="222"/>
      <c r="WUR117" s="222"/>
      <c r="WUS117" s="222"/>
      <c r="WUT117" s="222"/>
      <c r="WUU117" s="222"/>
      <c r="WUV117" s="222"/>
      <c r="WUW117" s="222"/>
      <c r="WUX117" s="222"/>
      <c r="WUY117" s="222"/>
      <c r="WUZ117" s="222"/>
      <c r="WVA117" s="222"/>
      <c r="WVB117" s="222"/>
      <c r="WVC117" s="222"/>
      <c r="WVD117" s="222"/>
      <c r="WVE117" s="222"/>
      <c r="WVF117" s="222"/>
      <c r="WVG117" s="222"/>
      <c r="WVH117" s="222"/>
      <c r="WVI117" s="222"/>
      <c r="WVJ117" s="222"/>
      <c r="WVK117" s="222"/>
      <c r="WVL117" s="222"/>
      <c r="WVM117" s="222"/>
      <c r="WVN117" s="222"/>
      <c r="WVO117" s="222"/>
      <c r="WVP117" s="222"/>
      <c r="WVQ117" s="222"/>
      <c r="WVR117" s="222"/>
      <c r="WVS117" s="222"/>
      <c r="WVT117" s="222"/>
      <c r="WVU117" s="222"/>
      <c r="WVV117" s="222"/>
      <c r="WVW117" s="222"/>
      <c r="WVX117" s="222"/>
      <c r="WVY117" s="222"/>
      <c r="WVZ117" s="222"/>
      <c r="WWA117" s="222"/>
      <c r="WWB117" s="222"/>
      <c r="WWC117" s="222"/>
      <c r="WWD117" s="222"/>
      <c r="WWE117" s="222"/>
      <c r="WWF117" s="222"/>
      <c r="WWG117" s="222"/>
      <c r="WWH117" s="222"/>
      <c r="WWI117" s="222"/>
      <c r="WWJ117" s="222"/>
      <c r="WWK117" s="222"/>
      <c r="WWL117" s="222"/>
      <c r="WWM117" s="222"/>
      <c r="WWN117" s="222"/>
      <c r="WWO117" s="222"/>
      <c r="WWP117" s="222"/>
      <c r="WWQ117" s="222"/>
      <c r="WWR117" s="222"/>
      <c r="WWS117" s="222"/>
      <c r="WWT117" s="222"/>
      <c r="WWU117" s="222"/>
      <c r="WWV117" s="222"/>
      <c r="WWW117" s="222"/>
      <c r="WWX117" s="222"/>
      <c r="WWY117" s="222"/>
      <c r="WWZ117" s="222"/>
      <c r="WXA117" s="222"/>
      <c r="WXB117" s="222"/>
      <c r="WXC117" s="222"/>
      <c r="WXD117" s="222"/>
      <c r="WXE117" s="222"/>
      <c r="WXF117" s="222"/>
      <c r="WXG117" s="222"/>
      <c r="WXH117" s="222"/>
      <c r="WXI117" s="222"/>
      <c r="WXJ117" s="222"/>
      <c r="WXK117" s="222"/>
      <c r="WXL117" s="222"/>
      <c r="WXM117" s="222"/>
      <c r="WXN117" s="222"/>
      <c r="WXO117" s="222"/>
      <c r="WXP117" s="222"/>
      <c r="WXQ117" s="222"/>
      <c r="WXR117" s="222"/>
      <c r="WXS117" s="222"/>
      <c r="WXT117" s="222"/>
      <c r="WXU117" s="222"/>
      <c r="WXV117" s="222"/>
      <c r="WXW117" s="222"/>
      <c r="WXX117" s="222"/>
      <c r="WXY117" s="222"/>
      <c r="WXZ117" s="222"/>
      <c r="WYA117" s="222"/>
      <c r="WYB117" s="222"/>
      <c r="WYC117" s="222"/>
      <c r="WYD117" s="222"/>
      <c r="WYE117" s="222"/>
      <c r="WYF117" s="222"/>
      <c r="WYG117" s="222"/>
      <c r="WYH117" s="222"/>
      <c r="WYI117" s="222"/>
      <c r="WYJ117" s="222"/>
      <c r="WYK117" s="222"/>
      <c r="WYL117" s="222"/>
      <c r="WYM117" s="222"/>
      <c r="WYN117" s="222"/>
      <c r="WYO117" s="222"/>
      <c r="WYP117" s="222"/>
      <c r="WYQ117" s="222"/>
      <c r="WYR117" s="222"/>
      <c r="WYS117" s="222"/>
      <c r="WYT117" s="222"/>
      <c r="WYU117" s="222"/>
      <c r="WYV117" s="222"/>
      <c r="WYW117" s="222"/>
      <c r="WYX117" s="222"/>
      <c r="WYY117" s="222"/>
      <c r="WYZ117" s="222"/>
      <c r="WZA117" s="222"/>
      <c r="WZB117" s="222"/>
      <c r="WZC117" s="222"/>
      <c r="WZD117" s="222"/>
      <c r="WZE117" s="222"/>
      <c r="WZF117" s="222"/>
      <c r="WZG117" s="222"/>
      <c r="WZH117" s="222"/>
      <c r="WZI117" s="222"/>
      <c r="WZJ117" s="222"/>
      <c r="WZK117" s="222"/>
      <c r="WZL117" s="222"/>
      <c r="WZM117" s="222"/>
      <c r="WZN117" s="222"/>
      <c r="WZO117" s="222"/>
      <c r="WZP117" s="222"/>
      <c r="WZQ117" s="222"/>
      <c r="WZR117" s="222"/>
      <c r="WZS117" s="222"/>
      <c r="WZT117" s="222"/>
      <c r="WZU117" s="222"/>
      <c r="WZV117" s="222"/>
      <c r="WZW117" s="222"/>
      <c r="WZX117" s="222"/>
      <c r="WZY117" s="222"/>
      <c r="WZZ117" s="222"/>
      <c r="XAA117" s="222"/>
      <c r="XAB117" s="222"/>
      <c r="XAC117" s="222"/>
      <c r="XAD117" s="222"/>
      <c r="XAE117" s="222"/>
      <c r="XAF117" s="222"/>
      <c r="XAG117" s="222"/>
      <c r="XAH117" s="222"/>
      <c r="XAI117" s="222"/>
      <c r="XAJ117" s="222"/>
      <c r="XAK117" s="222"/>
      <c r="XAL117" s="222"/>
      <c r="XAM117" s="222"/>
      <c r="XAN117" s="222"/>
      <c r="XAO117" s="222"/>
      <c r="XAP117" s="222"/>
      <c r="XAQ117" s="222"/>
      <c r="XAR117" s="222"/>
      <c r="XAS117" s="222"/>
      <c r="XAT117" s="222"/>
      <c r="XAU117" s="222"/>
      <c r="XAV117" s="222"/>
      <c r="XAW117" s="222"/>
      <c r="XAX117" s="222"/>
      <c r="XAY117" s="222"/>
      <c r="XAZ117" s="222"/>
      <c r="XBA117" s="222"/>
      <c r="XBB117" s="222"/>
      <c r="XBC117" s="222"/>
      <c r="XBD117" s="222"/>
      <c r="XBE117" s="222"/>
      <c r="XBF117" s="222"/>
      <c r="XBG117" s="222"/>
      <c r="XBH117" s="222"/>
      <c r="XBI117" s="222"/>
      <c r="XBJ117" s="222"/>
      <c r="XBK117" s="222"/>
      <c r="XBL117" s="222"/>
      <c r="XBM117" s="222"/>
      <c r="XBN117" s="222"/>
      <c r="XBO117" s="222"/>
      <c r="XBP117" s="222"/>
      <c r="XBQ117" s="222"/>
      <c r="XBR117" s="222"/>
      <c r="XBS117" s="222"/>
      <c r="XBT117" s="222"/>
      <c r="XBU117" s="222"/>
      <c r="XBV117" s="222"/>
      <c r="XBW117" s="222"/>
      <c r="XBX117" s="222"/>
      <c r="XBY117" s="222"/>
      <c r="XBZ117" s="222"/>
      <c r="XCA117" s="222"/>
      <c r="XCB117" s="222"/>
      <c r="XCC117" s="222"/>
      <c r="XCD117" s="222"/>
      <c r="XCE117" s="222"/>
      <c r="XCF117" s="222"/>
      <c r="XCG117" s="222"/>
      <c r="XCH117" s="222"/>
      <c r="XCI117" s="222"/>
      <c r="XCJ117" s="222"/>
      <c r="XCK117" s="222"/>
      <c r="XCL117" s="222"/>
      <c r="XCM117" s="222"/>
      <c r="XCN117" s="222"/>
      <c r="XCO117" s="222"/>
      <c r="XCP117" s="222"/>
      <c r="XCQ117" s="222"/>
      <c r="XCR117" s="222"/>
      <c r="XCS117" s="222"/>
      <c r="XCT117" s="222"/>
      <c r="XCU117" s="222"/>
      <c r="XCV117" s="222"/>
      <c r="XCW117" s="222"/>
      <c r="XCX117" s="222"/>
      <c r="XCY117" s="222"/>
      <c r="XCZ117" s="222"/>
      <c r="XDA117" s="222"/>
      <c r="XDB117" s="222"/>
      <c r="XDC117" s="222"/>
      <c r="XDD117" s="222"/>
      <c r="XDE117" s="222"/>
      <c r="XDF117" s="222"/>
      <c r="XDG117" s="222"/>
      <c r="XDH117" s="222"/>
      <c r="XDI117" s="222"/>
      <c r="XDJ117" s="222"/>
      <c r="XDK117" s="222"/>
      <c r="XDL117" s="222"/>
      <c r="XDM117" s="222"/>
      <c r="XDN117" s="222"/>
      <c r="XDO117" s="222"/>
      <c r="XDP117" s="222"/>
      <c r="XDQ117" s="222"/>
      <c r="XDR117" s="222"/>
      <c r="XDS117" s="222"/>
      <c r="XDT117" s="222"/>
      <c r="XDU117" s="222"/>
      <c r="XDV117" s="222"/>
      <c r="XDW117" s="222"/>
      <c r="XDX117" s="222"/>
      <c r="XDY117" s="222"/>
      <c r="XDZ117" s="222"/>
      <c r="XEA117" s="222"/>
      <c r="XEB117" s="222"/>
      <c r="XEC117" s="222"/>
      <c r="XED117" s="222"/>
      <c r="XEE117" s="222"/>
      <c r="XEF117" s="222"/>
      <c r="XEG117" s="222"/>
      <c r="XEH117" s="222"/>
      <c r="XEI117" s="222"/>
      <c r="XEJ117" s="222"/>
      <c r="XEK117" s="222"/>
      <c r="XEL117" s="222"/>
      <c r="XEM117" s="222"/>
      <c r="XEN117" s="222"/>
      <c r="XEO117" s="222"/>
      <c r="XEP117" s="222"/>
      <c r="XEQ117" s="222"/>
      <c r="XER117" s="222"/>
      <c r="XES117" s="222"/>
      <c r="XET117" s="222"/>
      <c r="XEU117" s="222"/>
      <c r="XEV117" s="222"/>
      <c r="XEW117" s="222"/>
      <c r="XEX117" s="222"/>
      <c r="XEY117" s="222"/>
      <c r="XEZ117" s="222"/>
      <c r="XFA117" s="222"/>
      <c r="XFB117" s="222"/>
    </row>
    <row r="118" spans="1:16382" ht="15">
      <c r="A118" s="424">
        <v>349812</v>
      </c>
      <c r="B118" t="str">
        <f t="shared" si="5"/>
        <v/>
      </c>
      <c r="C118" s="209">
        <f t="shared" si="4"/>
        <v>8.4741300000000006</v>
      </c>
      <c r="D118" s="542" t="s">
        <v>3903</v>
      </c>
      <c r="E118" s="542" t="s">
        <v>1608</v>
      </c>
      <c r="F118" s="542" t="s">
        <v>84</v>
      </c>
      <c r="G118" s="542" t="s">
        <v>84</v>
      </c>
      <c r="H118" s="426">
        <v>186.14879999999999</v>
      </c>
      <c r="I118" s="425">
        <v>8.4741300000000006</v>
      </c>
      <c r="J118" s="425">
        <v>29.33</v>
      </c>
      <c r="K118" s="425">
        <v>1999.7569000000001</v>
      </c>
      <c r="L118" s="542" t="s">
        <v>622</v>
      </c>
      <c r="M118" s="423" t="s">
        <v>699</v>
      </c>
      <c r="N118" s="206">
        <v>133.60679999999999</v>
      </c>
      <c r="O118" s="546"/>
      <c r="R118" s="206"/>
    </row>
    <row r="119" spans="1:16382" ht="15">
      <c r="A119" s="424">
        <v>191701</v>
      </c>
      <c r="B119" t="str">
        <f t="shared" si="5"/>
        <v>SEVROLL uholník K2 Decor 2,35m oliva kartáč.</v>
      </c>
      <c r="C119" s="209">
        <f t="shared" si="4"/>
        <v>6.6044999999999998</v>
      </c>
      <c r="D119" s="542" t="s">
        <v>4130</v>
      </c>
      <c r="E119" s="542" t="s">
        <v>2629</v>
      </c>
      <c r="F119" s="542" t="s">
        <v>4131</v>
      </c>
      <c r="G119" s="542" t="s">
        <v>2630</v>
      </c>
      <c r="H119" s="426">
        <v>190.01856000000001</v>
      </c>
      <c r="I119" s="425">
        <v>6.6044999999999998</v>
      </c>
      <c r="J119" s="425">
        <v>23.04</v>
      </c>
      <c r="K119" s="425">
        <v>2152.9640800000002</v>
      </c>
      <c r="L119" s="542" t="s">
        <v>621</v>
      </c>
      <c r="M119" s="423" t="s">
        <v>699</v>
      </c>
      <c r="N119" s="206">
        <v>137.19300000000001</v>
      </c>
      <c r="O119" s="546"/>
      <c r="R119" s="206"/>
    </row>
    <row r="120" spans="1:16382" ht="15">
      <c r="A120" s="424">
        <v>130612</v>
      </c>
      <c r="B120" t="str">
        <f t="shared" si="5"/>
        <v>SEVROLL spojovacia lišta T04 3m strieborná</v>
      </c>
      <c r="C120" s="209">
        <f t="shared" si="4"/>
        <v>6.9901600000000004</v>
      </c>
      <c r="D120" s="542" t="s">
        <v>3251</v>
      </c>
      <c r="E120" s="542" t="s">
        <v>900</v>
      </c>
      <c r="F120" s="542" t="s">
        <v>3252</v>
      </c>
      <c r="G120" s="542" t="s">
        <v>2541</v>
      </c>
      <c r="H120" s="426">
        <v>201.40544</v>
      </c>
      <c r="I120" s="425">
        <v>6.9901600000000004</v>
      </c>
      <c r="J120" s="425">
        <v>24.38</v>
      </c>
      <c r="K120" s="425">
        <v>2281.9806699999999</v>
      </c>
      <c r="L120" s="542" t="s">
        <v>622</v>
      </c>
      <c r="M120" s="423" t="s">
        <v>699</v>
      </c>
      <c r="N120" s="206">
        <v>138.49959999999999</v>
      </c>
      <c r="O120" s="546"/>
      <c r="R120" s="206"/>
    </row>
    <row r="121" spans="1:16382" ht="15">
      <c r="A121" s="424">
        <v>349859</v>
      </c>
      <c r="B121" t="str">
        <f t="shared" si="5"/>
        <v/>
      </c>
      <c r="C121" s="209">
        <f t="shared" si="4"/>
        <v>8.5558700000000005</v>
      </c>
      <c r="D121" s="542" t="s">
        <v>3911</v>
      </c>
      <c r="E121" s="542" t="s">
        <v>1601</v>
      </c>
      <c r="F121" s="542" t="s">
        <v>84</v>
      </c>
      <c r="G121" s="542" t="s">
        <v>84</v>
      </c>
      <c r="H121" s="426">
        <v>195.15600000000001</v>
      </c>
      <c r="I121" s="425">
        <v>8.5558700000000005</v>
      </c>
      <c r="J121" s="425">
        <v>29.65</v>
      </c>
      <c r="K121" s="425">
        <v>2096.5193300000001</v>
      </c>
      <c r="L121" s="542" t="s">
        <v>622</v>
      </c>
      <c r="M121" s="423" t="s">
        <v>699</v>
      </c>
      <c r="N121" s="206">
        <v>139.61160000000001</v>
      </c>
      <c r="O121" s="546"/>
      <c r="R121" s="206"/>
    </row>
    <row r="122" spans="1:16382" ht="15">
      <c r="A122" s="424">
        <v>213977</v>
      </c>
      <c r="B122" t="str">
        <f t="shared" si="5"/>
        <v>SEVROLL Beta 18 úch.lišta 2,70m strieborná</v>
      </c>
      <c r="C122" s="209">
        <f t="shared" si="4"/>
        <v>7.6650700000000001</v>
      </c>
      <c r="D122" s="542" t="s">
        <v>4679</v>
      </c>
      <c r="E122" s="542" t="s">
        <v>1579</v>
      </c>
      <c r="F122" s="542" t="s">
        <v>4680</v>
      </c>
      <c r="G122" s="542" t="s">
        <v>1580</v>
      </c>
      <c r="H122" s="426">
        <v>202.11712</v>
      </c>
      <c r="I122" s="425">
        <v>7.6650700000000001</v>
      </c>
      <c r="J122" s="425">
        <v>30.24</v>
      </c>
      <c r="K122" s="425">
        <v>2290.0441999999998</v>
      </c>
      <c r="L122" s="542" t="s">
        <v>621</v>
      </c>
      <c r="M122" s="423" t="s">
        <v>699</v>
      </c>
      <c r="N122" s="206">
        <v>139.80619999999999</v>
      </c>
      <c r="O122" s="546"/>
      <c r="R122" s="206"/>
    </row>
    <row r="123" spans="1:16382" ht="15">
      <c r="A123" s="424">
        <v>89058</v>
      </c>
      <c r="B123" t="str">
        <f t="shared" si="5"/>
        <v>SEVROLL uholník K2 Decor 3m oliva</v>
      </c>
      <c r="C123" s="209">
        <f t="shared" si="4"/>
        <v>7.2070999999999996</v>
      </c>
      <c r="D123" s="542" t="s">
        <v>4126</v>
      </c>
      <c r="E123" s="542" t="s">
        <v>868</v>
      </c>
      <c r="F123" s="542" t="s">
        <v>4127</v>
      </c>
      <c r="G123" s="542" t="s">
        <v>2634</v>
      </c>
      <c r="H123" s="426">
        <v>193.57696000000001</v>
      </c>
      <c r="I123" s="425">
        <v>7.2070999999999996</v>
      </c>
      <c r="J123" s="425">
        <v>25.07</v>
      </c>
      <c r="K123" s="425">
        <v>2193.2817700000001</v>
      </c>
      <c r="L123" s="542" t="s">
        <v>621</v>
      </c>
      <c r="M123" s="423" t="s">
        <v>699</v>
      </c>
      <c r="N123" s="206">
        <v>139.80619999999999</v>
      </c>
      <c r="O123" s="546"/>
      <c r="R123" s="206"/>
    </row>
    <row r="124" spans="1:16382" ht="15">
      <c r="A124" s="424">
        <v>89056</v>
      </c>
      <c r="B124" t="str">
        <f t="shared" si="5"/>
        <v>SEVROLL uholník K2 Decor 3m strieborná</v>
      </c>
      <c r="C124" s="209">
        <f t="shared" si="4"/>
        <v>6.7009100000000004</v>
      </c>
      <c r="D124" s="542" t="s">
        <v>4122</v>
      </c>
      <c r="E124" s="542" t="s">
        <v>867</v>
      </c>
      <c r="F124" s="542" t="s">
        <v>4123</v>
      </c>
      <c r="G124" s="542" t="s">
        <v>2637</v>
      </c>
      <c r="H124" s="426">
        <v>193.57696000000001</v>
      </c>
      <c r="I124" s="425">
        <v>6.7009100000000004</v>
      </c>
      <c r="J124" s="425">
        <v>22.88</v>
      </c>
      <c r="K124" s="425">
        <v>2193.2817700000001</v>
      </c>
      <c r="L124" s="542" t="s">
        <v>621</v>
      </c>
      <c r="M124" s="423" t="s">
        <v>699</v>
      </c>
      <c r="N124" s="206">
        <v>139.80619999999999</v>
      </c>
      <c r="O124" s="546"/>
      <c r="R124" s="206"/>
    </row>
    <row r="125" spans="1:16382" ht="15">
      <c r="A125" s="424">
        <v>245815</v>
      </c>
      <c r="B125" t="str">
        <f t="shared" si="5"/>
        <v>SEVROLL Focus II 18mm úch.lišta 2,7m strieb</v>
      </c>
      <c r="C125" s="209">
        <f t="shared" si="4"/>
        <v>8.0989400000000007</v>
      </c>
      <c r="D125" s="542" t="s">
        <v>4587</v>
      </c>
      <c r="E125" s="542" t="s">
        <v>1847</v>
      </c>
      <c r="F125" s="542" t="s">
        <v>4588</v>
      </c>
      <c r="G125" s="542" t="s">
        <v>1848</v>
      </c>
      <c r="H125" s="426">
        <v>213.50399999999999</v>
      </c>
      <c r="I125" s="425">
        <v>8.0989400000000007</v>
      </c>
      <c r="J125" s="425">
        <v>25.23</v>
      </c>
      <c r="K125" s="425">
        <v>2419.06077</v>
      </c>
      <c r="L125" s="542" t="s">
        <v>621</v>
      </c>
      <c r="M125" s="423" t="s">
        <v>699</v>
      </c>
      <c r="N125" s="206">
        <v>141.11279999999999</v>
      </c>
      <c r="O125" s="546"/>
      <c r="R125" s="206"/>
    </row>
    <row r="126" spans="1:16382" ht="15">
      <c r="A126" s="424">
        <v>89152</v>
      </c>
      <c r="B126" t="str">
        <f t="shared" si="5"/>
        <v>SEVROLL Micra horné/spod.vedenie 3m str.elox</v>
      </c>
      <c r="C126" s="209">
        <f t="shared" si="4"/>
        <v>7.0865799999999997</v>
      </c>
      <c r="D126" s="542" t="s">
        <v>4347</v>
      </c>
      <c r="E126" s="542" t="s">
        <v>2251</v>
      </c>
      <c r="F126" s="542" t="s">
        <v>4348</v>
      </c>
      <c r="G126" s="542" t="s">
        <v>2252</v>
      </c>
      <c r="H126" s="426">
        <v>195.71199999999999</v>
      </c>
      <c r="I126" s="425">
        <v>7.0865799999999997</v>
      </c>
      <c r="J126" s="425">
        <v>23.13</v>
      </c>
      <c r="K126" s="425">
        <v>2217.4723800000002</v>
      </c>
      <c r="L126" s="542" t="s">
        <v>621</v>
      </c>
      <c r="M126" s="423" t="s">
        <v>699</v>
      </c>
      <c r="N126" s="206">
        <v>141.11279999999999</v>
      </c>
      <c r="O126" s="546"/>
      <c r="R126" s="206"/>
    </row>
    <row r="127" spans="1:16382" ht="15">
      <c r="A127" s="424">
        <v>89277</v>
      </c>
      <c r="B127" t="str">
        <f t="shared" si="5"/>
        <v>SEVROLL profil "U" Decor DTD 16mm 3m str.</v>
      </c>
      <c r="C127" s="209">
        <f t="shared" si="4"/>
        <v>7.1588900000000004</v>
      </c>
      <c r="D127" s="542" t="s">
        <v>3375</v>
      </c>
      <c r="E127" s="542" t="s">
        <v>861</v>
      </c>
      <c r="F127" s="542" t="s">
        <v>3376</v>
      </c>
      <c r="G127" s="542" t="s">
        <v>2334</v>
      </c>
      <c r="H127" s="426">
        <v>206.38720000000001</v>
      </c>
      <c r="I127" s="425">
        <v>7.1588900000000004</v>
      </c>
      <c r="J127" s="425">
        <v>24.39</v>
      </c>
      <c r="K127" s="425">
        <v>2338.4254099999998</v>
      </c>
      <c r="L127" s="542" t="s">
        <v>622</v>
      </c>
      <c r="M127" s="423" t="s">
        <v>699</v>
      </c>
      <c r="N127" s="206">
        <v>141.76609999999999</v>
      </c>
      <c r="O127" s="546"/>
      <c r="R127" s="206"/>
    </row>
    <row r="128" spans="1:16382" ht="15">
      <c r="A128" s="424">
        <v>134300</v>
      </c>
      <c r="B128" t="str">
        <f t="shared" si="5"/>
        <v>SEVROLL okrasná lišta S20 3m strieborná</v>
      </c>
      <c r="C128" s="209">
        <f t="shared" si="4"/>
        <v>6.8455399999999997</v>
      </c>
      <c r="D128" s="542" t="s">
        <v>4326</v>
      </c>
      <c r="E128" s="542" t="s">
        <v>1368</v>
      </c>
      <c r="F128" s="542" t="s">
        <v>4327</v>
      </c>
      <c r="G128" s="542" t="s">
        <v>2269</v>
      </c>
      <c r="H128" s="426">
        <v>197.13535999999999</v>
      </c>
      <c r="I128" s="425">
        <v>6.8455399999999997</v>
      </c>
      <c r="J128" s="425">
        <v>23.3</v>
      </c>
      <c r="K128" s="425">
        <v>2233.5994599999999</v>
      </c>
      <c r="L128" s="542" t="s">
        <v>621</v>
      </c>
      <c r="M128" s="423" t="s">
        <v>699</v>
      </c>
      <c r="N128" s="206">
        <v>142.4194</v>
      </c>
      <c r="O128" s="546"/>
      <c r="R128" s="206"/>
    </row>
    <row r="129" spans="1:18" ht="15">
      <c r="A129" s="429">
        <v>252423</v>
      </c>
      <c r="B129" t="str">
        <f t="shared" si="5"/>
        <v>SEVROLL dolné vedenie Hide N 1,7m str</v>
      </c>
      <c r="C129" s="209">
        <f t="shared" si="4"/>
        <v>7.5445500000000001</v>
      </c>
      <c r="D129" s="542" t="s">
        <v>3608</v>
      </c>
      <c r="E129" s="542" t="s">
        <v>2749</v>
      </c>
      <c r="F129" s="542" t="s">
        <v>3609</v>
      </c>
      <c r="G129" s="542" t="s">
        <v>2811</v>
      </c>
      <c r="H129" s="426">
        <v>218.75819999999999</v>
      </c>
      <c r="I129" s="425">
        <v>7.5445500000000001</v>
      </c>
      <c r="J129" s="425">
        <v>25.19</v>
      </c>
      <c r="K129" s="425">
        <v>2459.3784599999999</v>
      </c>
      <c r="L129" s="542" t="s">
        <v>622</v>
      </c>
      <c r="M129" s="430" t="s">
        <v>699</v>
      </c>
      <c r="N129" s="206">
        <v>144.51274000000001</v>
      </c>
      <c r="O129" s="546"/>
      <c r="R129" s="206"/>
    </row>
    <row r="130" spans="1:18" ht="15">
      <c r="A130" s="429">
        <v>308671</v>
      </c>
      <c r="B130" t="str">
        <f t="shared" si="5"/>
        <v>SEVROLL dolné vedenie Hide M 2,35m str.</v>
      </c>
      <c r="C130" s="209">
        <f t="shared" si="4"/>
        <v>7.5927600000000002</v>
      </c>
      <c r="D130" s="542" t="s">
        <v>3614</v>
      </c>
      <c r="E130" s="542" t="s">
        <v>2752</v>
      </c>
      <c r="F130" s="542" t="s">
        <v>3615</v>
      </c>
      <c r="G130" s="542" t="s">
        <v>2814</v>
      </c>
      <c r="H130" s="426">
        <v>220.19268</v>
      </c>
      <c r="I130" s="425">
        <v>7.5927600000000002</v>
      </c>
      <c r="J130" s="425">
        <v>25.36</v>
      </c>
      <c r="K130" s="425">
        <v>2475.5055400000001</v>
      </c>
      <c r="L130" s="542" t="s">
        <v>622</v>
      </c>
      <c r="M130" s="430" t="s">
        <v>699</v>
      </c>
      <c r="N130" s="206">
        <v>145.1438</v>
      </c>
      <c r="O130" s="546"/>
      <c r="R130" s="206"/>
    </row>
    <row r="131" spans="1:18" ht="15">
      <c r="A131" s="424">
        <v>89093</v>
      </c>
      <c r="B131" t="str">
        <f t="shared" si="5"/>
        <v>SEVROLL Focus 16mm úch.lišta 2,7m oliva</v>
      </c>
      <c r="C131" s="209">
        <f t="shared" ref="C131:C194" si="6">IF($A$2=1,H131,IF($A$2=2,I131,IF($A$2=3,J131,IF($A$2=4,K131,"zadat jazyk"))))</f>
        <v>8.8461700000000008</v>
      </c>
      <c r="D131" s="542" t="s">
        <v>3757</v>
      </c>
      <c r="E131" s="542" t="s">
        <v>1832</v>
      </c>
      <c r="F131" s="542" t="s">
        <v>3758</v>
      </c>
      <c r="G131" s="542" t="s">
        <v>1833</v>
      </c>
      <c r="H131" s="426">
        <v>233.43104</v>
      </c>
      <c r="I131" s="425">
        <v>8.8461700000000008</v>
      </c>
      <c r="J131" s="425">
        <v>28.46</v>
      </c>
      <c r="K131" s="425">
        <v>2644.83977</v>
      </c>
      <c r="L131" s="542" t="s">
        <v>622</v>
      </c>
      <c r="M131" s="423" t="s">
        <v>699</v>
      </c>
      <c r="N131" s="206">
        <v>146.99250000000001</v>
      </c>
      <c r="O131" s="546"/>
      <c r="R131" s="206"/>
    </row>
    <row r="132" spans="1:18" ht="15">
      <c r="A132" s="424">
        <v>163123</v>
      </c>
      <c r="B132" t="str">
        <f t="shared" si="5"/>
        <v>SEVROLL Doubler II maska 2,35m stieborná</v>
      </c>
      <c r="C132" s="209">
        <f t="shared" si="6"/>
        <v>7.1347800000000001</v>
      </c>
      <c r="D132" s="542" t="s">
        <v>4649</v>
      </c>
      <c r="E132" s="542" t="s">
        <v>1083</v>
      </c>
      <c r="F132" s="542" t="s">
        <v>4650</v>
      </c>
      <c r="G132" s="542" t="s">
        <v>1685</v>
      </c>
      <c r="H132" s="426">
        <v>205.67552000000001</v>
      </c>
      <c r="I132" s="425">
        <v>7.1347800000000001</v>
      </c>
      <c r="J132" s="425">
        <v>24.31</v>
      </c>
      <c r="K132" s="425">
        <v>2330.3618700000002</v>
      </c>
      <c r="L132" s="542" t="s">
        <v>621</v>
      </c>
      <c r="M132" s="423" t="s">
        <v>699</v>
      </c>
      <c r="N132" s="206">
        <v>148.29910000000001</v>
      </c>
      <c r="O132" s="546"/>
      <c r="R132" s="206"/>
    </row>
    <row r="133" spans="1:18" ht="15">
      <c r="A133" s="424">
        <v>89016</v>
      </c>
      <c r="B133" t="str">
        <f t="shared" si="5"/>
        <v>SEVROLL profil "U" Decor 18mm 3m strieborná</v>
      </c>
      <c r="C133" s="209">
        <f t="shared" si="6"/>
        <v>7.1588900000000004</v>
      </c>
      <c r="D133" s="542" t="s">
        <v>4308</v>
      </c>
      <c r="E133" s="542" t="s">
        <v>874</v>
      </c>
      <c r="F133" s="542" t="s">
        <v>4309</v>
      </c>
      <c r="G133" s="542" t="s">
        <v>2333</v>
      </c>
      <c r="H133" s="426">
        <v>206.38720000000001</v>
      </c>
      <c r="I133" s="425">
        <v>7.1588900000000004</v>
      </c>
      <c r="J133" s="425">
        <v>24.39</v>
      </c>
      <c r="K133" s="425">
        <v>2338.4254099999998</v>
      </c>
      <c r="L133" s="542" t="s">
        <v>621</v>
      </c>
      <c r="M133" s="423" t="s">
        <v>699</v>
      </c>
      <c r="N133" s="206">
        <v>148.95240000000001</v>
      </c>
      <c r="O133" s="546"/>
      <c r="R133" s="206"/>
    </row>
    <row r="134" spans="1:18" ht="15">
      <c r="A134" s="424">
        <v>229441</v>
      </c>
      <c r="B134" t="str">
        <f t="shared" si="5"/>
        <v>SEVROLL spodný vozík WD 10C HI-TEC - 2ks</v>
      </c>
      <c r="C134" s="209">
        <f t="shared" si="6"/>
        <v>6.8455399999999997</v>
      </c>
      <c r="D134" s="542" t="s">
        <v>4225</v>
      </c>
      <c r="E134" s="542" t="s">
        <v>1133</v>
      </c>
      <c r="F134" s="542" t="s">
        <v>4226</v>
      </c>
      <c r="G134" s="542" t="s">
        <v>1400</v>
      </c>
      <c r="H134" s="426">
        <v>197.13535999999999</v>
      </c>
      <c r="I134" s="425">
        <v>6.8455399999999997</v>
      </c>
      <c r="J134" s="425">
        <v>27.05</v>
      </c>
      <c r="K134" s="425">
        <v>2233.5994599999999</v>
      </c>
      <c r="L134" s="542" t="s">
        <v>621</v>
      </c>
      <c r="M134" s="423" t="s">
        <v>700</v>
      </c>
      <c r="N134" s="206">
        <v>149.60570000000001</v>
      </c>
      <c r="O134" s="546"/>
      <c r="R134" s="206"/>
    </row>
    <row r="135" spans="1:18" ht="15">
      <c r="A135" s="424">
        <v>162316</v>
      </c>
      <c r="B135" t="str">
        <f t="shared" si="5"/>
        <v>SEVROLL-FIRST HOR/SPOD VED. 1,8 M OLIVA</v>
      </c>
      <c r="C135" s="209">
        <f t="shared" si="6"/>
        <v>8.1471499999999999</v>
      </c>
      <c r="D135" s="542" t="s">
        <v>3761</v>
      </c>
      <c r="E135" s="542" t="s">
        <v>673</v>
      </c>
      <c r="F135" s="542" t="s">
        <v>673</v>
      </c>
      <c r="G135" s="542" t="s">
        <v>1825</v>
      </c>
      <c r="H135" s="426">
        <v>218.48576</v>
      </c>
      <c r="I135" s="425">
        <v>8.1471499999999999</v>
      </c>
      <c r="J135" s="425">
        <v>33.42</v>
      </c>
      <c r="K135" s="425">
        <v>2475.5055400000001</v>
      </c>
      <c r="L135" s="542" t="s">
        <v>622</v>
      </c>
      <c r="M135" s="423" t="s">
        <v>699</v>
      </c>
      <c r="N135" s="206">
        <v>150.25899999999999</v>
      </c>
      <c r="O135" s="546"/>
      <c r="R135" s="206"/>
    </row>
    <row r="136" spans="1:18" ht="15">
      <c r="A136" s="424">
        <v>89019</v>
      </c>
      <c r="B136" t="str">
        <f t="shared" si="5"/>
        <v>SEVROLL First horné/spodné vedenie 1,8m str.</v>
      </c>
      <c r="C136" s="209">
        <f t="shared" si="6"/>
        <v>8.1471499999999999</v>
      </c>
      <c r="D136" s="542" t="s">
        <v>3090</v>
      </c>
      <c r="E136" s="542" t="s">
        <v>881</v>
      </c>
      <c r="F136" s="542" t="s">
        <v>3091</v>
      </c>
      <c r="G136" s="542" t="s">
        <v>1826</v>
      </c>
      <c r="H136" s="426">
        <v>218.48576</v>
      </c>
      <c r="I136" s="425">
        <v>8.1471499999999999</v>
      </c>
      <c r="J136" s="425">
        <v>30.38</v>
      </c>
      <c r="K136" s="425">
        <v>2475.5055400000001</v>
      </c>
      <c r="L136" s="542" t="s">
        <v>622</v>
      </c>
      <c r="M136" s="423" t="s">
        <v>699</v>
      </c>
      <c r="N136" s="206">
        <v>150.25899999999999</v>
      </c>
      <c r="O136" s="546"/>
      <c r="R136" s="206"/>
    </row>
    <row r="137" spans="1:18" ht="15">
      <c r="A137" s="424">
        <v>224017</v>
      </c>
      <c r="B137" t="str">
        <f t="shared" si="5"/>
        <v>SEVROLL Simple spodné vedenie 2m strieborné</v>
      </c>
      <c r="C137" s="209">
        <f t="shared" si="6"/>
        <v>9.4005600000000005</v>
      </c>
      <c r="D137" s="542" t="s">
        <v>3049</v>
      </c>
      <c r="E137" s="542" t="s">
        <v>2403</v>
      </c>
      <c r="F137" s="542" t="s">
        <v>3050</v>
      </c>
      <c r="G137" s="542" t="s">
        <v>2404</v>
      </c>
      <c r="H137" s="426">
        <v>207.9162</v>
      </c>
      <c r="I137" s="425">
        <v>9.4005600000000005</v>
      </c>
      <c r="J137" s="425">
        <v>24.95</v>
      </c>
      <c r="K137" s="425">
        <v>2233.5994599999999</v>
      </c>
      <c r="L137" s="542" t="s">
        <v>622</v>
      </c>
      <c r="M137" s="423" t="s">
        <v>699</v>
      </c>
      <c r="N137" s="206">
        <v>153.1224</v>
      </c>
      <c r="O137" s="546"/>
      <c r="R137" s="206"/>
    </row>
    <row r="138" spans="1:18" ht="15">
      <c r="A138" s="424">
        <v>98092</v>
      </c>
      <c r="B138" t="str">
        <f t="shared" si="5"/>
        <v>SEVROLL Comfort horný vozík 18mm - 2ks</v>
      </c>
      <c r="C138" s="209">
        <f t="shared" si="6"/>
        <v>7.6409700000000003</v>
      </c>
      <c r="D138" s="542" t="s">
        <v>4657</v>
      </c>
      <c r="E138" s="542" t="s">
        <v>1117</v>
      </c>
      <c r="F138" s="542" t="s">
        <v>4658</v>
      </c>
      <c r="G138" s="542" t="s">
        <v>1658</v>
      </c>
      <c r="H138" s="426">
        <v>204.96384</v>
      </c>
      <c r="I138" s="425">
        <v>7.6409700000000003</v>
      </c>
      <c r="J138" s="425">
        <v>25.88</v>
      </c>
      <c r="K138" s="425">
        <v>2322.2983399999998</v>
      </c>
      <c r="L138" s="542" t="s">
        <v>621</v>
      </c>
      <c r="M138" s="423" t="s">
        <v>700</v>
      </c>
      <c r="N138" s="206">
        <v>155.4854</v>
      </c>
      <c r="O138" s="546"/>
      <c r="R138" s="206"/>
    </row>
    <row r="139" spans="1:18" ht="15">
      <c r="A139" s="424">
        <v>163131</v>
      </c>
      <c r="B139" t="str">
        <f t="shared" si="5"/>
        <v>SEVROLL-MASKA DOUBLER II 2,35 M OLIVA</v>
      </c>
      <c r="C139" s="209">
        <f t="shared" si="6"/>
        <v>7.8578999999999999</v>
      </c>
      <c r="D139" s="542" t="s">
        <v>3856</v>
      </c>
      <c r="E139" s="542" t="s">
        <v>1086</v>
      </c>
      <c r="F139" s="542" t="s">
        <v>680</v>
      </c>
      <c r="G139" s="542" t="s">
        <v>1684</v>
      </c>
      <c r="H139" s="426">
        <v>226.31424000000001</v>
      </c>
      <c r="I139" s="425">
        <v>7.8578999999999999</v>
      </c>
      <c r="J139" s="425">
        <v>26.74</v>
      </c>
      <c r="K139" s="425">
        <v>2564.2044099999998</v>
      </c>
      <c r="L139" s="542" t="s">
        <v>622</v>
      </c>
      <c r="M139" s="423" t="s">
        <v>699</v>
      </c>
      <c r="N139" s="206">
        <v>155.4854</v>
      </c>
      <c r="O139" s="546"/>
      <c r="R139" s="206"/>
    </row>
    <row r="140" spans="1:18" ht="15">
      <c r="A140" s="424">
        <v>98048</v>
      </c>
      <c r="B140" t="str">
        <f t="shared" si="5"/>
        <v>SEVROLL Future horný vozík 10mm (ľavý+pravý)</v>
      </c>
      <c r="C140" s="209">
        <f t="shared" si="6"/>
        <v>7.1106800000000003</v>
      </c>
      <c r="D140" s="542" t="s">
        <v>4576</v>
      </c>
      <c r="E140" s="542" t="s">
        <v>1098</v>
      </c>
      <c r="F140" s="542" t="s">
        <v>4577</v>
      </c>
      <c r="G140" s="542" t="s">
        <v>1883</v>
      </c>
      <c r="H140" s="426">
        <v>204.96384</v>
      </c>
      <c r="I140" s="425">
        <v>7.1106800000000003</v>
      </c>
      <c r="J140" s="425">
        <v>25.88</v>
      </c>
      <c r="K140" s="425">
        <v>2322.2983399999998</v>
      </c>
      <c r="L140" s="542" t="s">
        <v>621</v>
      </c>
      <c r="M140" s="423" t="s">
        <v>700</v>
      </c>
      <c r="N140" s="206">
        <v>155.4854</v>
      </c>
      <c r="O140" s="546"/>
      <c r="R140" s="206"/>
    </row>
    <row r="141" spans="1:18" ht="15">
      <c r="A141" s="424">
        <v>89251</v>
      </c>
      <c r="B141" t="str">
        <f t="shared" si="5"/>
        <v>SEVROLL-206 LIŠTA VOD.HORNÁ ZLATÁ 1,70m</v>
      </c>
      <c r="C141" s="209">
        <f t="shared" si="6"/>
        <v>8.5087100000000007</v>
      </c>
      <c r="D141" s="542" t="s">
        <v>859</v>
      </c>
      <c r="E141" s="542" t="s">
        <v>1986</v>
      </c>
      <c r="F141" s="542" t="s">
        <v>85</v>
      </c>
      <c r="G141" s="542" t="s">
        <v>1987</v>
      </c>
      <c r="H141" s="426">
        <v>228.44927999999999</v>
      </c>
      <c r="I141" s="425">
        <v>8.5087100000000007</v>
      </c>
      <c r="J141" s="425">
        <v>52.03</v>
      </c>
      <c r="K141" s="425">
        <v>2588.3950300000001</v>
      </c>
      <c r="L141" s="542" t="s">
        <v>622</v>
      </c>
      <c r="M141" s="423" t="s">
        <v>699</v>
      </c>
      <c r="N141" s="206">
        <v>157.4453</v>
      </c>
      <c r="O141" s="546"/>
      <c r="R141" s="206"/>
    </row>
    <row r="142" spans="1:18" ht="15">
      <c r="A142" s="424">
        <v>349862</v>
      </c>
      <c r="B142" t="str">
        <f t="shared" si="5"/>
        <v/>
      </c>
      <c r="C142" s="209">
        <f t="shared" si="6"/>
        <v>9.4278099999999991</v>
      </c>
      <c r="D142" s="542" t="s">
        <v>3912</v>
      </c>
      <c r="E142" s="542" t="s">
        <v>1600</v>
      </c>
      <c r="F142" s="542" t="s">
        <v>84</v>
      </c>
      <c r="G142" s="542" t="s">
        <v>84</v>
      </c>
      <c r="H142" s="426">
        <v>214.67160000000001</v>
      </c>
      <c r="I142" s="425">
        <v>9.4278099999999991</v>
      </c>
      <c r="J142" s="425">
        <v>32.93</v>
      </c>
      <c r="K142" s="425">
        <v>2306.17128</v>
      </c>
      <c r="L142" s="542" t="s">
        <v>622</v>
      </c>
      <c r="M142" s="423" t="s">
        <v>699</v>
      </c>
      <c r="N142" s="206">
        <v>157.626</v>
      </c>
      <c r="O142" s="546"/>
      <c r="R142" s="206"/>
    </row>
    <row r="143" spans="1:18" ht="15">
      <c r="A143" s="424">
        <v>102833</v>
      </c>
      <c r="B143" t="str">
        <f t="shared" si="5"/>
        <v>SEVROLL-SPOJ.LIŠTA H18 MAXIM 1,8M STR</v>
      </c>
      <c r="C143" s="209">
        <f t="shared" si="6"/>
        <v>8.0266300000000008</v>
      </c>
      <c r="D143" s="542" t="s">
        <v>3464</v>
      </c>
      <c r="E143" s="542" t="s">
        <v>2214</v>
      </c>
      <c r="F143" s="542" t="s">
        <v>667</v>
      </c>
      <c r="G143" s="542" t="s">
        <v>2215</v>
      </c>
      <c r="H143" s="426">
        <v>231.29599999999999</v>
      </c>
      <c r="I143" s="425">
        <v>8.0266300000000008</v>
      </c>
      <c r="J143" s="425">
        <v>27.33</v>
      </c>
      <c r="K143" s="425">
        <v>2620.6491799999999</v>
      </c>
      <c r="L143" s="542" t="s">
        <v>622</v>
      </c>
      <c r="M143" s="423" t="s">
        <v>699</v>
      </c>
      <c r="N143" s="206">
        <v>158.75190000000001</v>
      </c>
      <c r="O143" s="546"/>
      <c r="R143" s="206"/>
    </row>
    <row r="144" spans="1:18" ht="15">
      <c r="A144" s="424">
        <v>135154</v>
      </c>
      <c r="B144" t="str">
        <f t="shared" si="5"/>
        <v>SEVROLL okrasná lišta S20 3m oliva</v>
      </c>
      <c r="C144" s="209">
        <f t="shared" si="6"/>
        <v>7.5927600000000002</v>
      </c>
      <c r="D144" s="542" t="s">
        <v>4328</v>
      </c>
      <c r="E144" s="542" t="s">
        <v>1370</v>
      </c>
      <c r="F144" s="542" t="s">
        <v>4328</v>
      </c>
      <c r="G144" s="542" t="s">
        <v>2268</v>
      </c>
      <c r="H144" s="426">
        <v>219.19744</v>
      </c>
      <c r="I144" s="425">
        <v>7.5927600000000002</v>
      </c>
      <c r="J144" s="425">
        <v>25.9</v>
      </c>
      <c r="K144" s="425">
        <v>2483.5690500000001</v>
      </c>
      <c r="L144" s="542" t="s">
        <v>621</v>
      </c>
      <c r="M144" s="423" t="s">
        <v>699</v>
      </c>
      <c r="N144" s="206">
        <v>158.75190000000001</v>
      </c>
      <c r="O144" s="546"/>
      <c r="R144" s="206"/>
    </row>
    <row r="145" spans="1:18" ht="15">
      <c r="A145" s="424">
        <v>84395</v>
      </c>
      <c r="B145" t="str">
        <f t="shared" si="5"/>
        <v>SEVROLL profil "U" pre DTD 16mm 3m oliva</v>
      </c>
      <c r="C145" s="209">
        <f t="shared" si="6"/>
        <v>7.3999300000000003</v>
      </c>
      <c r="D145" s="542" t="s">
        <v>3971</v>
      </c>
      <c r="E145" s="542" t="s">
        <v>898</v>
      </c>
      <c r="F145" s="542" t="s">
        <v>3972</v>
      </c>
      <c r="G145" s="542" t="s">
        <v>2345</v>
      </c>
      <c r="H145" s="426">
        <v>212.79231999999999</v>
      </c>
      <c r="I145" s="425">
        <v>7.3999300000000003</v>
      </c>
      <c r="J145" s="425">
        <v>26.04</v>
      </c>
      <c r="K145" s="425">
        <v>2410.9972299999999</v>
      </c>
      <c r="L145" s="542" t="s">
        <v>620</v>
      </c>
      <c r="M145" s="423" t="s">
        <v>699</v>
      </c>
      <c r="N145" s="206">
        <v>158.75190000000001</v>
      </c>
      <c r="O145" s="546"/>
      <c r="R145" s="206"/>
    </row>
    <row r="146" spans="1:18" ht="15">
      <c r="A146" s="424">
        <v>345412</v>
      </c>
      <c r="B146" t="str">
        <f t="shared" si="5"/>
        <v>SEVROLL maska Elegant II 3m čierna kartáčovaná</v>
      </c>
      <c r="C146" s="209">
        <f t="shared" si="6"/>
        <v>7.9543200000000001</v>
      </c>
      <c r="D146" s="542" t="s">
        <v>4418</v>
      </c>
      <c r="E146" s="542" t="s">
        <v>2122</v>
      </c>
      <c r="F146" s="542" t="s">
        <v>4420</v>
      </c>
      <c r="G146" s="542" t="s">
        <v>4419</v>
      </c>
      <c r="H146" s="426">
        <v>219.90912</v>
      </c>
      <c r="I146" s="425">
        <v>7.9543200000000001</v>
      </c>
      <c r="J146" s="425">
        <v>27.72</v>
      </c>
      <c r="K146" s="425">
        <v>2491.6325900000002</v>
      </c>
      <c r="L146" s="542" t="s">
        <v>621</v>
      </c>
      <c r="M146" s="423" t="s">
        <v>699</v>
      </c>
      <c r="N146" s="206">
        <v>159.40520000000001</v>
      </c>
      <c r="O146" s="546"/>
      <c r="R146" s="206"/>
    </row>
    <row r="147" spans="1:18" ht="15">
      <c r="A147" s="424">
        <v>345410</v>
      </c>
      <c r="B147" t="str">
        <f t="shared" si="5"/>
        <v>SEVROLL maska Elegant II 3m oliva kartáčovaná</v>
      </c>
      <c r="C147" s="209">
        <f t="shared" si="6"/>
        <v>7.9543200000000001</v>
      </c>
      <c r="D147" s="542" t="s">
        <v>4415</v>
      </c>
      <c r="E147" s="542" t="s">
        <v>2124</v>
      </c>
      <c r="F147" s="542" t="s">
        <v>4415</v>
      </c>
      <c r="G147" s="542" t="s">
        <v>4416</v>
      </c>
      <c r="H147" s="426">
        <v>219.90912</v>
      </c>
      <c r="I147" s="425">
        <v>7.9543200000000001</v>
      </c>
      <c r="J147" s="425">
        <v>27.72</v>
      </c>
      <c r="K147" s="425">
        <v>2491.6325900000002</v>
      </c>
      <c r="L147" s="542" t="s">
        <v>621</v>
      </c>
      <c r="M147" s="423" t="s">
        <v>699</v>
      </c>
      <c r="N147" s="206">
        <v>159.40520000000001</v>
      </c>
      <c r="O147" s="546"/>
      <c r="R147" s="206"/>
    </row>
    <row r="148" spans="1:18" ht="15">
      <c r="A148" s="424">
        <v>345411</v>
      </c>
      <c r="B148" t="str">
        <f t="shared" si="5"/>
        <v/>
      </c>
      <c r="C148" s="209">
        <f t="shared" si="6"/>
        <v>7.9543200000000001</v>
      </c>
      <c r="D148" s="542" t="s">
        <v>3520</v>
      </c>
      <c r="E148" s="542" t="s">
        <v>2125</v>
      </c>
      <c r="F148" s="542" t="s">
        <v>84</v>
      </c>
      <c r="G148" s="542" t="s">
        <v>3521</v>
      </c>
      <c r="H148" s="426">
        <v>219.90912</v>
      </c>
      <c r="I148" s="425">
        <v>7.9543200000000001</v>
      </c>
      <c r="J148" s="425">
        <v>27.72</v>
      </c>
      <c r="K148" s="425">
        <v>2491.6325900000002</v>
      </c>
      <c r="L148" s="542" t="s">
        <v>622</v>
      </c>
      <c r="M148" s="423" t="s">
        <v>699</v>
      </c>
      <c r="N148" s="206">
        <v>159.40520000000001</v>
      </c>
      <c r="O148" s="546"/>
      <c r="R148" s="206"/>
    </row>
    <row r="149" spans="1:18" ht="15">
      <c r="A149" s="424">
        <v>213978</v>
      </c>
      <c r="B149" t="str">
        <f t="shared" si="5"/>
        <v>SEVROLL Beta 18 úchytová lišta 2,70m oliva</v>
      </c>
      <c r="C149" s="209">
        <f t="shared" si="6"/>
        <v>8.8702699999999997</v>
      </c>
      <c r="D149" s="542" t="s">
        <v>3926</v>
      </c>
      <c r="E149" s="542" t="s">
        <v>935</v>
      </c>
      <c r="F149" s="542" t="s">
        <v>3926</v>
      </c>
      <c r="G149" s="542" t="s">
        <v>1578</v>
      </c>
      <c r="H149" s="426">
        <v>234.14272</v>
      </c>
      <c r="I149" s="425">
        <v>8.8702699999999997</v>
      </c>
      <c r="J149" s="425">
        <v>33.81</v>
      </c>
      <c r="K149" s="425">
        <v>2652.9033100000001</v>
      </c>
      <c r="L149" s="542" t="s">
        <v>622</v>
      </c>
      <c r="M149" s="423" t="s">
        <v>699</v>
      </c>
      <c r="N149" s="206">
        <v>161.36510000000001</v>
      </c>
      <c r="O149" s="546"/>
      <c r="R149" s="206"/>
    </row>
    <row r="150" spans="1:18" ht="15">
      <c r="A150" s="424">
        <v>180416</v>
      </c>
      <c r="B150" t="str">
        <f t="shared" si="5"/>
        <v>SEVROLL Maxim II maska 2,5m strieborná</v>
      </c>
      <c r="C150" s="209">
        <f t="shared" si="6"/>
        <v>7.78559</v>
      </c>
      <c r="D150" s="542" t="s">
        <v>4387</v>
      </c>
      <c r="E150" s="542" t="s">
        <v>912</v>
      </c>
      <c r="F150" s="542" t="s">
        <v>4388</v>
      </c>
      <c r="G150" s="542" t="s">
        <v>2174</v>
      </c>
      <c r="H150" s="426">
        <v>224.17920000000001</v>
      </c>
      <c r="I150" s="425">
        <v>7.78559</v>
      </c>
      <c r="J150" s="425">
        <v>26.49</v>
      </c>
      <c r="K150" s="425">
        <v>2540.0138200000001</v>
      </c>
      <c r="L150" s="542" t="s">
        <v>621</v>
      </c>
      <c r="M150" s="423" t="s">
        <v>699</v>
      </c>
      <c r="N150" s="206">
        <v>161.36510000000001</v>
      </c>
      <c r="O150" s="546"/>
      <c r="R150" s="206"/>
    </row>
    <row r="151" spans="1:18" ht="15">
      <c r="A151" s="429">
        <v>308683</v>
      </c>
      <c r="B151" t="str">
        <f t="shared" si="5"/>
        <v>SEV-krycí profil Galaxy 1,5 m</v>
      </c>
      <c r="C151" s="209">
        <f t="shared" si="6"/>
        <v>0</v>
      </c>
      <c r="D151" s="542" t="s">
        <v>3551</v>
      </c>
      <c r="E151" s="542" t="s">
        <v>2746</v>
      </c>
      <c r="F151" s="542" t="s">
        <v>2869</v>
      </c>
      <c r="G151" s="542" t="s">
        <v>2805</v>
      </c>
      <c r="H151" s="426">
        <v>238.12368000000001</v>
      </c>
      <c r="I151" s="425">
        <v>0</v>
      </c>
      <c r="J151" s="425">
        <v>28.86</v>
      </c>
      <c r="K151" s="425">
        <v>2677.0939199999998</v>
      </c>
      <c r="L151" s="542" t="s">
        <v>622</v>
      </c>
      <c r="M151" s="430" t="s">
        <v>699</v>
      </c>
      <c r="N151" s="206">
        <v>161.55135999999999</v>
      </c>
      <c r="O151" s="546"/>
      <c r="R151" s="206"/>
    </row>
    <row r="152" spans="1:18" ht="15">
      <c r="A152" s="424">
        <v>89018</v>
      </c>
      <c r="B152" t="str">
        <f t="shared" si="5"/>
        <v>SEVROLL profil "U" Decor 18mm 3m oliva</v>
      </c>
      <c r="C152" s="209">
        <f t="shared" si="6"/>
        <v>8.1712600000000002</v>
      </c>
      <c r="D152" s="542" t="s">
        <v>3377</v>
      </c>
      <c r="E152" s="542" t="s">
        <v>875</v>
      </c>
      <c r="F152" s="542" t="s">
        <v>3377</v>
      </c>
      <c r="G152" s="542" t="s">
        <v>2332</v>
      </c>
      <c r="H152" s="426">
        <v>235.56608</v>
      </c>
      <c r="I152" s="425">
        <v>8.1712600000000002</v>
      </c>
      <c r="J152" s="425">
        <v>27.84</v>
      </c>
      <c r="K152" s="425">
        <v>2669.0303899999999</v>
      </c>
      <c r="L152" s="542" t="s">
        <v>622</v>
      </c>
      <c r="M152" s="423" t="s">
        <v>699</v>
      </c>
      <c r="N152" s="206">
        <v>162.67169999999999</v>
      </c>
      <c r="O152" s="546"/>
      <c r="R152" s="206"/>
    </row>
    <row r="153" spans="1:18" ht="15">
      <c r="A153" s="424">
        <v>212759</v>
      </c>
      <c r="B153" t="str">
        <f t="shared" si="5"/>
        <v>SEVROLL Secret Line II rámová lišt.2,7m str</v>
      </c>
      <c r="C153" s="209">
        <f t="shared" si="6"/>
        <v>8.1953600000000009</v>
      </c>
      <c r="D153" s="542" t="s">
        <v>3354</v>
      </c>
      <c r="E153" s="542" t="s">
        <v>2366</v>
      </c>
      <c r="F153" s="542" t="s">
        <v>3355</v>
      </c>
      <c r="G153" s="542" t="s">
        <v>2367</v>
      </c>
      <c r="H153" s="426">
        <v>225.60256000000001</v>
      </c>
      <c r="I153" s="425">
        <v>8.1953600000000009</v>
      </c>
      <c r="J153" s="425">
        <v>26.66</v>
      </c>
      <c r="K153" s="425">
        <v>2556.1408999999999</v>
      </c>
      <c r="L153" s="542" t="s">
        <v>622</v>
      </c>
      <c r="M153" s="423" t="s">
        <v>699</v>
      </c>
      <c r="N153" s="206">
        <v>162.67169999999999</v>
      </c>
      <c r="O153" s="546"/>
      <c r="R153" s="206"/>
    </row>
    <row r="154" spans="1:18" ht="15">
      <c r="A154" s="427">
        <v>196633</v>
      </c>
      <c r="B154" t="str">
        <f t="shared" si="5"/>
        <v>ASTIN sada krytiek pre vedenie str.</v>
      </c>
      <c r="C154" s="209" t="e">
        <f t="shared" si="6"/>
        <v>#N/A</v>
      </c>
      <c r="D154" s="542" t="s">
        <v>3953</v>
      </c>
      <c r="E154" s="542" t="s">
        <v>814</v>
      </c>
      <c r="F154" s="542" t="s">
        <v>3954</v>
      </c>
      <c r="G154" s="542" t="s">
        <v>977</v>
      </c>
      <c r="H154" s="426">
        <v>178.64279999999999</v>
      </c>
      <c r="I154" s="425" t="e">
        <v>#N/A</v>
      </c>
      <c r="J154" s="425">
        <v>26.774260000000002</v>
      </c>
      <c r="K154" s="425">
        <v>2150.1024699999998</v>
      </c>
      <c r="L154" s="542" t="s">
        <v>622</v>
      </c>
      <c r="M154" s="428" t="s">
        <v>700</v>
      </c>
      <c r="N154" s="206">
        <v>163.047</v>
      </c>
      <c r="O154" s="546"/>
      <c r="R154" s="206"/>
    </row>
    <row r="155" spans="1:18" ht="15">
      <c r="A155" s="424">
        <v>228202</v>
      </c>
      <c r="B155" t="str">
        <f t="shared" si="5"/>
        <v>SEVROLL Ergo 16 úchytová lišta 2,7m striebor</v>
      </c>
      <c r="C155" s="209">
        <f t="shared" si="6"/>
        <v>7.6650700000000001</v>
      </c>
      <c r="D155" s="542" t="s">
        <v>3805</v>
      </c>
      <c r="E155" s="542" t="s">
        <v>1147</v>
      </c>
      <c r="F155" s="542" t="s">
        <v>3806</v>
      </c>
      <c r="G155" s="542" t="s">
        <v>1782</v>
      </c>
      <c r="H155" s="426">
        <v>226.31424000000001</v>
      </c>
      <c r="I155" s="425">
        <v>7.6650700000000001</v>
      </c>
      <c r="J155" s="425">
        <v>28.72118</v>
      </c>
      <c r="K155" s="425">
        <v>2564.2044099999998</v>
      </c>
      <c r="L155" s="542" t="s">
        <v>622</v>
      </c>
      <c r="M155" s="423" t="s">
        <v>699</v>
      </c>
      <c r="N155" s="206">
        <v>163.32499999999999</v>
      </c>
      <c r="O155" s="546"/>
      <c r="R155" s="206"/>
    </row>
    <row r="156" spans="1:18" ht="15">
      <c r="A156" s="424">
        <v>143983</v>
      </c>
      <c r="B156" t="str">
        <f t="shared" si="5"/>
        <v>SEVROLL-ERGO 18 UCH.LIŠTA.2,70m STR.</v>
      </c>
      <c r="C156" s="209">
        <f t="shared" si="6"/>
        <v>7.6650700000000001</v>
      </c>
      <c r="D156" s="542" t="s">
        <v>4608</v>
      </c>
      <c r="E156" s="542" t="s">
        <v>1785</v>
      </c>
      <c r="F156" s="542" t="s">
        <v>713</v>
      </c>
      <c r="G156" s="542" t="s">
        <v>1786</v>
      </c>
      <c r="H156" s="426">
        <v>226.31424000000001</v>
      </c>
      <c r="I156" s="425">
        <v>7.6650700000000001</v>
      </c>
      <c r="J156" s="425">
        <v>26.453720000000001</v>
      </c>
      <c r="K156" s="425">
        <v>2564.2044099999998</v>
      </c>
      <c r="L156" s="542" t="s">
        <v>621</v>
      </c>
      <c r="M156" s="423" t="s">
        <v>699</v>
      </c>
      <c r="N156" s="206">
        <v>163.32499999999999</v>
      </c>
      <c r="O156" s="546"/>
      <c r="R156" s="206"/>
    </row>
    <row r="157" spans="1:18" ht="15">
      <c r="A157" s="424">
        <v>245813</v>
      </c>
      <c r="B157" t="str">
        <f t="shared" si="5"/>
        <v>SEVROLL Focus II 16mm úch.lišta 2,7m oliva</v>
      </c>
      <c r="C157" s="209" t="e">
        <f t="shared" si="6"/>
        <v>#N/A</v>
      </c>
      <c r="D157" s="542" t="s">
        <v>3753</v>
      </c>
      <c r="E157" s="542" t="s">
        <v>1262</v>
      </c>
      <c r="F157" s="542" t="s">
        <v>3754</v>
      </c>
      <c r="G157" s="542" t="s">
        <v>1843</v>
      </c>
      <c r="H157" s="426">
        <v>1E-3</v>
      </c>
      <c r="I157" s="425" t="e">
        <v>#N/A</v>
      </c>
      <c r="J157" s="425">
        <v>1E-3</v>
      </c>
      <c r="K157" s="425">
        <v>1E-3</v>
      </c>
      <c r="L157" s="542" t="s">
        <v>7984</v>
      </c>
      <c r="M157" s="423" t="s">
        <v>699</v>
      </c>
      <c r="N157" s="206">
        <v>163.32499999999999</v>
      </c>
      <c r="O157" s="546"/>
      <c r="R157" s="206"/>
    </row>
    <row r="158" spans="1:18" ht="15">
      <c r="A158" s="424">
        <v>284598</v>
      </c>
      <c r="B158" t="str">
        <f t="shared" si="5"/>
        <v>SEVROLL Focus II 18mm úchytová lišta 2,7m zl</v>
      </c>
      <c r="C158" s="209">
        <f t="shared" si="6"/>
        <v>9.8344299999999993</v>
      </c>
      <c r="D158" s="542" t="s">
        <v>3749</v>
      </c>
      <c r="E158" s="542" t="s">
        <v>1849</v>
      </c>
      <c r="F158" s="542" t="s">
        <v>3750</v>
      </c>
      <c r="G158" s="542" t="s">
        <v>1850</v>
      </c>
      <c r="H158" s="426">
        <v>259.05151999999998</v>
      </c>
      <c r="I158" s="425">
        <v>9.8344299999999993</v>
      </c>
      <c r="J158" s="425">
        <v>31.35</v>
      </c>
      <c r="K158" s="425">
        <v>2935.1270800000002</v>
      </c>
      <c r="L158" s="542" t="s">
        <v>622</v>
      </c>
      <c r="M158" s="423" t="s">
        <v>699</v>
      </c>
      <c r="N158" s="206">
        <v>163.32499999999999</v>
      </c>
      <c r="O158" s="546"/>
      <c r="R158" s="206"/>
    </row>
    <row r="159" spans="1:18" ht="15">
      <c r="A159" s="424">
        <v>228219</v>
      </c>
      <c r="B159" t="str">
        <f t="shared" si="5"/>
        <v>SEV-Factor 16-úchytová lišta strieborná</v>
      </c>
      <c r="C159" s="209" t="e">
        <f t="shared" si="6"/>
        <v>#N/A</v>
      </c>
      <c r="D159" s="542" t="s">
        <v>1793</v>
      </c>
      <c r="E159" s="542" t="s">
        <v>1150</v>
      </c>
      <c r="F159" s="542" t="s">
        <v>1795</v>
      </c>
      <c r="G159" s="542" t="s">
        <v>1794</v>
      </c>
      <c r="H159" s="426">
        <v>0</v>
      </c>
      <c r="I159" s="425" t="e">
        <v>#N/A</v>
      </c>
      <c r="J159" s="425">
        <v>0</v>
      </c>
      <c r="K159" s="425">
        <v>0</v>
      </c>
      <c r="L159" s="542" t="s">
        <v>622</v>
      </c>
      <c r="M159" s="423" t="s">
        <v>699</v>
      </c>
      <c r="N159" s="206">
        <v>165.61154999999999</v>
      </c>
      <c r="O159" s="546"/>
      <c r="R159" s="206"/>
    </row>
    <row r="160" spans="1:18" ht="15">
      <c r="A160" s="429">
        <v>252425</v>
      </c>
      <c r="B160" t="str">
        <f t="shared" si="5"/>
        <v>SEVROLL stenová príchytka profilu Single</v>
      </c>
      <c r="C160" s="209">
        <f t="shared" si="6"/>
        <v>8.2194599999999998</v>
      </c>
      <c r="D160" s="542" t="s">
        <v>3246</v>
      </c>
      <c r="E160" s="542" t="s">
        <v>1353</v>
      </c>
      <c r="F160" s="542" t="s">
        <v>3247</v>
      </c>
      <c r="G160" s="542" t="s">
        <v>2802</v>
      </c>
      <c r="H160" s="426">
        <v>252.46848</v>
      </c>
      <c r="I160" s="425">
        <v>8.2194599999999998</v>
      </c>
      <c r="J160" s="425">
        <v>29.08</v>
      </c>
      <c r="K160" s="425">
        <v>2838.3646399999998</v>
      </c>
      <c r="L160" s="542" t="s">
        <v>622</v>
      </c>
      <c r="M160" s="430" t="s">
        <v>703</v>
      </c>
      <c r="N160" s="206">
        <v>166.59984</v>
      </c>
      <c r="O160" s="546"/>
      <c r="R160" s="206"/>
    </row>
    <row r="161" spans="1:18" ht="15">
      <c r="A161" s="424">
        <v>224147</v>
      </c>
      <c r="B161" t="str">
        <f t="shared" si="5"/>
        <v>SEVROLL hor.vod.lišta Simple/Blue 2m(10mm)str.</v>
      </c>
      <c r="C161" s="209">
        <f t="shared" si="6"/>
        <v>9.3188200000000005</v>
      </c>
      <c r="D161" s="542" t="s">
        <v>4472</v>
      </c>
      <c r="E161" s="542" t="s">
        <v>4473</v>
      </c>
      <c r="F161" s="542" t="s">
        <v>4475</v>
      </c>
      <c r="G161" s="542" t="s">
        <v>4474</v>
      </c>
      <c r="H161" s="426">
        <v>216.1728</v>
      </c>
      <c r="I161" s="425">
        <v>9.3188200000000005</v>
      </c>
      <c r="J161" s="425">
        <v>28.78</v>
      </c>
      <c r="K161" s="425">
        <v>2322.2983399999998</v>
      </c>
      <c r="L161" s="542" t="s">
        <v>621</v>
      </c>
      <c r="M161" s="423" t="s">
        <v>699</v>
      </c>
      <c r="N161" s="206">
        <v>167.38380000000001</v>
      </c>
      <c r="O161" s="546"/>
      <c r="R161" s="206"/>
    </row>
    <row r="162" spans="1:18" ht="15">
      <c r="A162" s="424">
        <v>224125</v>
      </c>
      <c r="B162" t="str">
        <f t="shared" si="5"/>
        <v>SEVROLL spodné vedenie Simple 2m oliva</v>
      </c>
      <c r="C162" s="209">
        <f t="shared" si="6"/>
        <v>10.544980000000001</v>
      </c>
      <c r="D162" s="542" t="s">
        <v>3332</v>
      </c>
      <c r="E162" s="542" t="s">
        <v>2401</v>
      </c>
      <c r="F162" s="542" t="s">
        <v>3333</v>
      </c>
      <c r="G162" s="542" t="s">
        <v>2402</v>
      </c>
      <c r="H162" s="426">
        <v>233.4366</v>
      </c>
      <c r="I162" s="425">
        <v>10.544980000000001</v>
      </c>
      <c r="J162" s="425">
        <v>28.71</v>
      </c>
      <c r="K162" s="425">
        <v>2507.7596699999999</v>
      </c>
      <c r="L162" s="542" t="s">
        <v>622</v>
      </c>
      <c r="M162" s="423" t="s">
        <v>699</v>
      </c>
      <c r="N162" s="206">
        <v>167.38380000000001</v>
      </c>
      <c r="O162" s="546"/>
      <c r="R162" s="206"/>
    </row>
    <row r="163" spans="1:18" ht="15">
      <c r="A163" s="424">
        <v>349476</v>
      </c>
      <c r="B163" t="str">
        <f t="shared" si="5"/>
        <v>SEVROLL Blue-V spodné vedenie 2m strieborná</v>
      </c>
      <c r="C163" s="209">
        <f t="shared" si="6"/>
        <v>9.9455200000000001</v>
      </c>
      <c r="D163" s="542" t="s">
        <v>4070</v>
      </c>
      <c r="E163" s="542" t="s">
        <v>1613</v>
      </c>
      <c r="F163" s="542" t="s">
        <v>4071</v>
      </c>
      <c r="G163" s="542" t="s">
        <v>84</v>
      </c>
      <c r="H163" s="426">
        <v>218.4246</v>
      </c>
      <c r="I163" s="425">
        <v>9.9455200000000001</v>
      </c>
      <c r="J163" s="425">
        <v>34.46</v>
      </c>
      <c r="K163" s="425">
        <v>2346.4889499999999</v>
      </c>
      <c r="L163" s="542" t="s">
        <v>1025</v>
      </c>
      <c r="M163" s="423" t="s">
        <v>699</v>
      </c>
      <c r="N163" s="206">
        <v>168.88499999999999</v>
      </c>
      <c r="O163" s="546"/>
      <c r="R163" s="206"/>
    </row>
    <row r="164" spans="1:18" ht="15">
      <c r="A164" s="424">
        <v>284540</v>
      </c>
      <c r="B164" t="str">
        <f t="shared" si="5"/>
        <v>SEVROLL Maxim horní vozík 18mm asym 2ks</v>
      </c>
      <c r="C164" s="209">
        <f t="shared" si="6"/>
        <v>7.8097000000000003</v>
      </c>
      <c r="D164" s="542" t="s">
        <v>4389</v>
      </c>
      <c r="E164" s="542" t="s">
        <v>2153</v>
      </c>
      <c r="F164" s="542" t="s">
        <v>4390</v>
      </c>
      <c r="G164" s="542" t="s">
        <v>2154</v>
      </c>
      <c r="H164" s="426">
        <v>224.89088000000001</v>
      </c>
      <c r="I164" s="425">
        <v>7.8097000000000003</v>
      </c>
      <c r="J164" s="425">
        <v>26.58</v>
      </c>
      <c r="K164" s="425">
        <v>2548.0773600000002</v>
      </c>
      <c r="L164" s="542" t="s">
        <v>621</v>
      </c>
      <c r="M164" s="423" t="s">
        <v>700</v>
      </c>
      <c r="N164" s="206">
        <v>170.51130000000001</v>
      </c>
      <c r="O164" s="546"/>
      <c r="R164" s="206"/>
    </row>
    <row r="165" spans="1:18" ht="15">
      <c r="A165" s="429">
        <v>96401</v>
      </c>
      <c r="B165" t="str">
        <f t="shared" si="5"/>
        <v>SEVROLL-MDF VLOŽKA PRE KRYCIU LIŠ. 2,7 m</v>
      </c>
      <c r="C165" s="209">
        <f t="shared" si="6"/>
        <v>0</v>
      </c>
      <c r="D165" s="542" t="s">
        <v>3447</v>
      </c>
      <c r="E165" s="542" t="s">
        <v>1074</v>
      </c>
      <c r="F165" s="542" t="s">
        <v>1075</v>
      </c>
      <c r="G165" s="542" t="s">
        <v>2803</v>
      </c>
      <c r="H165" s="426">
        <v>235.97196</v>
      </c>
      <c r="I165" s="425">
        <v>0</v>
      </c>
      <c r="J165" s="425">
        <v>27.18</v>
      </c>
      <c r="K165" s="425">
        <v>2652.9033100000001</v>
      </c>
      <c r="L165" s="542" t="s">
        <v>622</v>
      </c>
      <c r="M165" s="430" t="s">
        <v>699</v>
      </c>
      <c r="N165" s="206">
        <v>171.01725999999999</v>
      </c>
      <c r="O165" s="546"/>
      <c r="R165" s="206"/>
    </row>
    <row r="166" spans="1:18" ht="15">
      <c r="A166" s="424">
        <v>245816</v>
      </c>
      <c r="B166" t="str">
        <f t="shared" si="5"/>
        <v>SEVROLL Focus II 18mm úch.lišta 2,7m oliva</v>
      </c>
      <c r="C166" s="209">
        <f t="shared" si="6"/>
        <v>9.8344299999999993</v>
      </c>
      <c r="D166" s="542" t="s">
        <v>4589</v>
      </c>
      <c r="E166" s="542" t="s">
        <v>1264</v>
      </c>
      <c r="F166" s="542" t="s">
        <v>4590</v>
      </c>
      <c r="G166" s="542" t="s">
        <v>1846</v>
      </c>
      <c r="H166" s="426">
        <v>259.05151999999998</v>
      </c>
      <c r="I166" s="425">
        <v>9.8344299999999993</v>
      </c>
      <c r="J166" s="425">
        <v>31.35</v>
      </c>
      <c r="K166" s="425">
        <v>2935.1270800000002</v>
      </c>
      <c r="L166" s="542" t="s">
        <v>621</v>
      </c>
      <c r="M166" s="423" t="s">
        <v>699</v>
      </c>
      <c r="N166" s="206">
        <v>171.81790000000001</v>
      </c>
      <c r="O166" s="546"/>
      <c r="R166" s="206"/>
    </row>
    <row r="167" spans="1:18" ht="15">
      <c r="A167" s="424">
        <v>349863</v>
      </c>
      <c r="B167" t="str">
        <f t="shared" si="5"/>
        <v/>
      </c>
      <c r="C167" s="209">
        <f t="shared" si="6"/>
        <v>10.51773</v>
      </c>
      <c r="D167" s="542" t="s">
        <v>3913</v>
      </c>
      <c r="E167" s="542" t="s">
        <v>1599</v>
      </c>
      <c r="F167" s="542" t="s">
        <v>84</v>
      </c>
      <c r="G167" s="542" t="s">
        <v>84</v>
      </c>
      <c r="H167" s="426">
        <v>239.44139999999999</v>
      </c>
      <c r="I167" s="425">
        <v>10.51773</v>
      </c>
      <c r="J167" s="425">
        <v>36.549999999999997</v>
      </c>
      <c r="K167" s="425">
        <v>2572.2679499999999</v>
      </c>
      <c r="L167" s="542" t="s">
        <v>622</v>
      </c>
      <c r="M167" s="423" t="s">
        <v>699</v>
      </c>
      <c r="N167" s="206">
        <v>171.88740000000001</v>
      </c>
      <c r="O167" s="546"/>
      <c r="R167" s="206"/>
    </row>
    <row r="168" spans="1:18" ht="15">
      <c r="A168" s="424">
        <v>197745</v>
      </c>
      <c r="B168" t="str">
        <f t="shared" si="5"/>
        <v>SEVROLL Optima spodné vedenie 2m surová</v>
      </c>
      <c r="C168" s="209">
        <f t="shared" si="6"/>
        <v>8.7256499999999999</v>
      </c>
      <c r="D168" s="542" t="s">
        <v>3415</v>
      </c>
      <c r="E168" s="542" t="s">
        <v>917</v>
      </c>
      <c r="F168" s="542" t="s">
        <v>3416</v>
      </c>
      <c r="G168" s="542" t="s">
        <v>2281</v>
      </c>
      <c r="H168" s="426">
        <v>251.22304</v>
      </c>
      <c r="I168" s="425">
        <v>8.7256499999999999</v>
      </c>
      <c r="J168" s="425">
        <v>29.69</v>
      </c>
      <c r="K168" s="425">
        <v>2846.4281799999999</v>
      </c>
      <c r="L168" s="542" t="s">
        <v>622</v>
      </c>
      <c r="M168" s="423" t="s">
        <v>699</v>
      </c>
      <c r="N168" s="206">
        <v>173.12450000000001</v>
      </c>
      <c r="O168" s="546"/>
      <c r="R168" s="206"/>
    </row>
    <row r="169" spans="1:18" ht="15">
      <c r="A169" s="429">
        <v>308694</v>
      </c>
      <c r="B169" t="str">
        <f t="shared" ref="B169:B232" si="7">IF($A$2=1,D169,IF($A$2=2,F169,IF($A$2=3,G169,IF($A$2=4,E169,"zadat jazyk"))))</f>
        <v>SEVROLL vedenie Galaxy B 50kg na stenu 1,5m</v>
      </c>
      <c r="C169" s="209">
        <f t="shared" si="6"/>
        <v>10.43703</v>
      </c>
      <c r="D169" s="542" t="s">
        <v>3175</v>
      </c>
      <c r="E169" s="542" t="s">
        <v>2743</v>
      </c>
      <c r="F169" s="542" t="s">
        <v>3176</v>
      </c>
      <c r="G169" s="542" t="s">
        <v>2796</v>
      </c>
      <c r="H169" s="426">
        <v>256.77192000000002</v>
      </c>
      <c r="I169" s="425">
        <v>10.43703</v>
      </c>
      <c r="J169" s="425">
        <v>30.41</v>
      </c>
      <c r="K169" s="425">
        <v>2886.7458499999998</v>
      </c>
      <c r="L169" s="542" t="s">
        <v>622</v>
      </c>
      <c r="M169" s="430" t="s">
        <v>699</v>
      </c>
      <c r="N169" s="206">
        <v>174.80362</v>
      </c>
      <c r="O169" s="546"/>
      <c r="R169" s="206"/>
    </row>
    <row r="170" spans="1:18" ht="15">
      <c r="A170" s="424">
        <v>278060</v>
      </c>
      <c r="B170" t="str">
        <f t="shared" si="7"/>
        <v>SEVROLL Pax záslepka profilu (4ks) strieb</v>
      </c>
      <c r="C170" s="209">
        <f t="shared" si="6"/>
        <v>7.9784199999999998</v>
      </c>
      <c r="D170" s="542" t="s">
        <v>4312</v>
      </c>
      <c r="E170" s="542" t="s">
        <v>1443</v>
      </c>
      <c r="F170" s="542" t="s">
        <v>4313</v>
      </c>
      <c r="G170" s="542" t="s">
        <v>2303</v>
      </c>
      <c r="H170" s="426">
        <v>242.68288000000001</v>
      </c>
      <c r="I170" s="425">
        <v>7.9784199999999998</v>
      </c>
      <c r="J170" s="425">
        <v>28.68</v>
      </c>
      <c r="K170" s="425">
        <v>2749.6657399999999</v>
      </c>
      <c r="L170" s="542" t="s">
        <v>621</v>
      </c>
      <c r="M170" s="423" t="s">
        <v>702</v>
      </c>
      <c r="N170" s="206">
        <v>175.08439999999999</v>
      </c>
      <c r="O170" s="546"/>
      <c r="R170" s="206"/>
    </row>
    <row r="171" spans="1:18" ht="15">
      <c r="A171" s="424">
        <v>288126</v>
      </c>
      <c r="B171" t="str">
        <f t="shared" si="7"/>
        <v>SEVROLL Pax nalepovacia úchytka strieborná</v>
      </c>
      <c r="C171" s="209">
        <f t="shared" si="6"/>
        <v>7.8097000000000003</v>
      </c>
      <c r="D171" s="542" t="s">
        <v>4320</v>
      </c>
      <c r="E171" s="542" t="s">
        <v>2289</v>
      </c>
      <c r="F171" s="542" t="s">
        <v>4321</v>
      </c>
      <c r="G171" s="542" t="s">
        <v>2290</v>
      </c>
      <c r="H171" s="426">
        <v>232.71935999999999</v>
      </c>
      <c r="I171" s="425">
        <v>7.8097000000000003</v>
      </c>
      <c r="J171" s="425">
        <v>27.5</v>
      </c>
      <c r="K171" s="425">
        <v>2636.7762499999999</v>
      </c>
      <c r="L171" s="542" t="s">
        <v>621</v>
      </c>
      <c r="M171" s="423" t="s">
        <v>699</v>
      </c>
      <c r="N171" s="206">
        <v>175.73769999999999</v>
      </c>
      <c r="O171" s="546"/>
      <c r="R171" s="206"/>
    </row>
    <row r="172" spans="1:18" ht="15">
      <c r="A172" s="424">
        <v>360719</v>
      </c>
      <c r="B172" t="str">
        <f t="shared" si="7"/>
        <v/>
      </c>
      <c r="C172" s="209">
        <f t="shared" si="6"/>
        <v>7.8097000000000003</v>
      </c>
      <c r="D172" s="542" t="s">
        <v>3409</v>
      </c>
      <c r="E172" s="542" t="s">
        <v>2291</v>
      </c>
      <c r="F172" s="542" t="s">
        <v>84</v>
      </c>
      <c r="G172" s="542" t="s">
        <v>84</v>
      </c>
      <c r="H172" s="426">
        <v>232.00767999999999</v>
      </c>
      <c r="I172" s="425">
        <v>7.8097000000000003</v>
      </c>
      <c r="J172" s="425">
        <v>27.42</v>
      </c>
      <c r="K172" s="425">
        <v>2628.71272</v>
      </c>
      <c r="L172" s="542" t="s">
        <v>622</v>
      </c>
      <c r="M172" s="423" t="s">
        <v>699</v>
      </c>
      <c r="N172" s="206">
        <v>175.73769999999999</v>
      </c>
      <c r="O172" s="546"/>
      <c r="R172" s="206"/>
    </row>
    <row r="173" spans="1:18" ht="15">
      <c r="A173" s="424">
        <v>284976</v>
      </c>
      <c r="B173" t="str">
        <f t="shared" si="7"/>
        <v>SEVROLL Maxim II maska 2,5m oliva</v>
      </c>
      <c r="C173" s="209">
        <f t="shared" si="6"/>
        <v>8.9184800000000006</v>
      </c>
      <c r="D173" s="542" t="s">
        <v>3489</v>
      </c>
      <c r="E173" s="542" t="s">
        <v>2172</v>
      </c>
      <c r="F173" s="542" t="s">
        <v>3489</v>
      </c>
      <c r="G173" s="542" t="s">
        <v>2173</v>
      </c>
      <c r="H173" s="426">
        <v>256.91647999999998</v>
      </c>
      <c r="I173" s="425">
        <v>8.9184800000000006</v>
      </c>
      <c r="J173" s="425">
        <v>30.36</v>
      </c>
      <c r="K173" s="425">
        <v>2910.9364599999999</v>
      </c>
      <c r="L173" s="542" t="s">
        <v>622</v>
      </c>
      <c r="M173" s="423" t="s">
        <v>699</v>
      </c>
      <c r="N173" s="206">
        <v>176.39099999999999</v>
      </c>
      <c r="O173" s="546"/>
      <c r="R173" s="206"/>
    </row>
    <row r="174" spans="1:18" ht="15">
      <c r="A174" s="424">
        <v>84410</v>
      </c>
      <c r="B174" t="str">
        <f t="shared" si="7"/>
        <v>SEVROLL-Gemini spodné vedenie 1,7m strie</v>
      </c>
      <c r="C174" s="209">
        <f t="shared" si="6"/>
        <v>9.6722800000000007</v>
      </c>
      <c r="D174" s="542" t="s">
        <v>4537</v>
      </c>
      <c r="E174" s="542" t="s">
        <v>4538</v>
      </c>
      <c r="F174" s="542" t="s">
        <v>1964</v>
      </c>
      <c r="G174" s="542" t="s">
        <v>1963</v>
      </c>
      <c r="H174" s="426">
        <v>247.66463999999999</v>
      </c>
      <c r="I174" s="425">
        <v>9.6722800000000007</v>
      </c>
      <c r="J174" s="425">
        <v>30.51</v>
      </c>
      <c r="K174" s="425">
        <v>2806.11049</v>
      </c>
      <c r="L174" s="542" t="s">
        <v>623</v>
      </c>
      <c r="M174" s="423" t="s">
        <v>699</v>
      </c>
      <c r="N174" s="206">
        <v>179.0042</v>
      </c>
      <c r="O174" s="546"/>
      <c r="R174" s="206"/>
    </row>
    <row r="175" spans="1:18" ht="15">
      <c r="A175" s="424">
        <v>234761</v>
      </c>
      <c r="B175" t="str">
        <f t="shared" si="7"/>
        <v>SEV-spojovacia lišta H08 16 3m strie</v>
      </c>
      <c r="C175" s="209">
        <f t="shared" si="6"/>
        <v>9.0631000000000004</v>
      </c>
      <c r="D175" s="542" t="s">
        <v>1130</v>
      </c>
      <c r="E175" s="542" t="s">
        <v>1404</v>
      </c>
      <c r="F175" s="542" t="s">
        <v>1482</v>
      </c>
      <c r="G175" s="542" t="s">
        <v>2495</v>
      </c>
      <c r="H175" s="426">
        <v>260.47487999999998</v>
      </c>
      <c r="I175" s="425">
        <v>9.0631000000000004</v>
      </c>
      <c r="J175" s="425">
        <v>33.770000000000003</v>
      </c>
      <c r="K175" s="425">
        <v>2951.2541500000002</v>
      </c>
      <c r="L175" s="542" t="s">
        <v>622</v>
      </c>
      <c r="M175" s="423" t="s">
        <v>699</v>
      </c>
      <c r="N175" s="206">
        <v>179.0042</v>
      </c>
      <c r="O175" s="546"/>
      <c r="R175" s="206"/>
    </row>
    <row r="176" spans="1:18" ht="15">
      <c r="A176" s="424">
        <v>346117</v>
      </c>
      <c r="B176" t="str">
        <f t="shared" si="7"/>
        <v>SEVROLL maska Elegant II 4,05m biela lesk</v>
      </c>
      <c r="C176" s="209">
        <f t="shared" si="6"/>
        <v>8.9907900000000005</v>
      </c>
      <c r="D176" s="542" t="s">
        <v>4412</v>
      </c>
      <c r="E176" s="542" t="s">
        <v>2128</v>
      </c>
      <c r="F176" s="542" t="s">
        <v>4414</v>
      </c>
      <c r="G176" s="542" t="s">
        <v>4413</v>
      </c>
      <c r="H176" s="426">
        <v>249.08799999999999</v>
      </c>
      <c r="I176" s="425">
        <v>8.9907900000000005</v>
      </c>
      <c r="J176" s="425">
        <v>29.79</v>
      </c>
      <c r="K176" s="425">
        <v>2822.2375699999998</v>
      </c>
      <c r="L176" s="542" t="s">
        <v>621</v>
      </c>
      <c r="M176" s="423" t="s">
        <v>699</v>
      </c>
      <c r="N176" s="206">
        <v>179.6575</v>
      </c>
      <c r="O176" s="546"/>
      <c r="R176" s="206"/>
    </row>
    <row r="177" spans="1:18" ht="15">
      <c r="A177" s="424">
        <v>229439</v>
      </c>
      <c r="B177" t="str">
        <f t="shared" si="7"/>
        <v>SEVROLL Maxim horný vozík 18mm - 2ks</v>
      </c>
      <c r="C177" s="209">
        <f t="shared" si="6"/>
        <v>7.8097000000000003</v>
      </c>
      <c r="D177" s="542" t="s">
        <v>4391</v>
      </c>
      <c r="E177" s="542" t="s">
        <v>1398</v>
      </c>
      <c r="F177" s="542" t="s">
        <v>4392</v>
      </c>
      <c r="G177" s="542" t="s">
        <v>2152</v>
      </c>
      <c r="H177" s="426">
        <v>230.58431999999999</v>
      </c>
      <c r="I177" s="425">
        <v>7.8097000000000003</v>
      </c>
      <c r="J177" s="425">
        <v>27.25</v>
      </c>
      <c r="K177" s="425">
        <v>2612.5856399999998</v>
      </c>
      <c r="L177" s="542" t="s">
        <v>621</v>
      </c>
      <c r="M177" s="423" t="s">
        <v>700</v>
      </c>
      <c r="N177" s="206">
        <v>179.6575</v>
      </c>
      <c r="O177" s="546"/>
      <c r="R177" s="206"/>
    </row>
    <row r="178" spans="1:18" ht="15">
      <c r="A178" s="424">
        <v>229443</v>
      </c>
      <c r="B178" t="str">
        <f t="shared" si="7"/>
        <v>SEVROLL Maxim board horný vozík 18mm - 2ks</v>
      </c>
      <c r="C178" s="209">
        <f t="shared" si="6"/>
        <v>7.8097000000000003</v>
      </c>
      <c r="D178" s="542" t="s">
        <v>4397</v>
      </c>
      <c r="E178" s="542" t="s">
        <v>1134</v>
      </c>
      <c r="F178" s="542" t="s">
        <v>4398</v>
      </c>
      <c r="G178" s="542" t="s">
        <v>2155</v>
      </c>
      <c r="H178" s="426">
        <v>230.58431999999999</v>
      </c>
      <c r="I178" s="425">
        <v>7.8097000000000003</v>
      </c>
      <c r="J178" s="425">
        <v>27.25</v>
      </c>
      <c r="K178" s="425">
        <v>2612.5856399999998</v>
      </c>
      <c r="L178" s="542" t="s">
        <v>621</v>
      </c>
      <c r="M178" s="423" t="s">
        <v>700</v>
      </c>
      <c r="N178" s="206">
        <v>179.6575</v>
      </c>
      <c r="O178" s="546"/>
      <c r="R178" s="206"/>
    </row>
    <row r="179" spans="1:18" ht="15">
      <c r="A179" s="424">
        <v>135506</v>
      </c>
      <c r="B179" t="str">
        <f t="shared" si="7"/>
        <v>SEVROLL Factor 16 II-úchyt.lišta strieborná 2,7</v>
      </c>
      <c r="C179" s="209">
        <f t="shared" si="6"/>
        <v>9.9670000000000005</v>
      </c>
      <c r="D179" s="542" t="s">
        <v>3779</v>
      </c>
      <c r="E179" s="542" t="s">
        <v>1149</v>
      </c>
      <c r="F179" s="542" t="s">
        <v>3780</v>
      </c>
      <c r="G179" s="542" t="s">
        <v>1798</v>
      </c>
      <c r="H179" s="426">
        <v>286.80703999999997</v>
      </c>
      <c r="I179" s="425">
        <v>9.9670000000000005</v>
      </c>
      <c r="J179" s="425">
        <v>74.41</v>
      </c>
      <c r="K179" s="425">
        <v>3249.6049699999999</v>
      </c>
      <c r="L179" s="542" t="s">
        <v>622</v>
      </c>
      <c r="M179" s="423" t="s">
        <v>699</v>
      </c>
      <c r="N179" s="206">
        <v>180.9641</v>
      </c>
      <c r="O179" s="546"/>
      <c r="R179" s="206"/>
    </row>
    <row r="180" spans="1:18" ht="15">
      <c r="A180" s="424">
        <v>238033</v>
      </c>
      <c r="B180" t="str">
        <f t="shared" si="7"/>
        <v>SEVROLL Maxim spojovacia lišta H18 1,8m oliv</v>
      </c>
      <c r="C180" s="209">
        <f t="shared" si="6"/>
        <v>9.2077299999999997</v>
      </c>
      <c r="D180" s="542" t="s">
        <v>3465</v>
      </c>
      <c r="E180" s="542" t="s">
        <v>1414</v>
      </c>
      <c r="F180" s="542" t="s">
        <v>3466</v>
      </c>
      <c r="G180" s="542" t="s">
        <v>2213</v>
      </c>
      <c r="H180" s="426">
        <v>265.45663999999999</v>
      </c>
      <c r="I180" s="425">
        <v>9.2077299999999997</v>
      </c>
      <c r="J180" s="425">
        <v>31.37</v>
      </c>
      <c r="K180" s="425">
        <v>3007.6988999999999</v>
      </c>
      <c r="L180" s="542" t="s">
        <v>622</v>
      </c>
      <c r="M180" s="423" t="s">
        <v>699</v>
      </c>
      <c r="N180" s="206">
        <v>182.92400000000001</v>
      </c>
      <c r="O180" s="546"/>
      <c r="R180" s="206"/>
    </row>
    <row r="181" spans="1:18" ht="15">
      <c r="A181" s="424">
        <v>223331</v>
      </c>
      <c r="B181" t="str">
        <f t="shared" si="7"/>
        <v>SEVROLL uholník K2 3m oliva tmavá kartáč.</v>
      </c>
      <c r="C181" s="209">
        <f t="shared" si="6"/>
        <v>9.2800399999999996</v>
      </c>
      <c r="D181" s="542" t="s">
        <v>3196</v>
      </c>
      <c r="E181" s="542" t="s">
        <v>2622</v>
      </c>
      <c r="F181" s="542" t="s">
        <v>3197</v>
      </c>
      <c r="G181" s="542" t="s">
        <v>2623</v>
      </c>
      <c r="H181" s="426">
        <v>266.88</v>
      </c>
      <c r="I181" s="425">
        <v>9.2800399999999996</v>
      </c>
      <c r="J181" s="425">
        <v>32.340000000000003</v>
      </c>
      <c r="K181" s="425">
        <v>3023.8259699999999</v>
      </c>
      <c r="L181" s="542" t="s">
        <v>622</v>
      </c>
      <c r="M181" s="423" t="s">
        <v>699</v>
      </c>
      <c r="N181" s="206">
        <v>183.57730000000001</v>
      </c>
      <c r="O181" s="546"/>
      <c r="R181" s="206"/>
    </row>
    <row r="182" spans="1:18" ht="15">
      <c r="A182" s="424">
        <v>212760</v>
      </c>
      <c r="B182" t="str">
        <f t="shared" si="7"/>
        <v>SEVROLL Slim Line II rámová lišt.2,7m str.</v>
      </c>
      <c r="C182" s="209">
        <f t="shared" si="6"/>
        <v>9.2077299999999997</v>
      </c>
      <c r="D182" s="542" t="s">
        <v>3314</v>
      </c>
      <c r="E182" s="542" t="s">
        <v>926</v>
      </c>
      <c r="F182" s="542" t="s">
        <v>3315</v>
      </c>
      <c r="G182" s="542" t="s">
        <v>2423</v>
      </c>
      <c r="H182" s="426">
        <v>253.35808</v>
      </c>
      <c r="I182" s="425">
        <v>9.2077299999999997</v>
      </c>
      <c r="J182" s="425">
        <v>29.9</v>
      </c>
      <c r="K182" s="425">
        <v>2870.61879</v>
      </c>
      <c r="L182" s="542" t="s">
        <v>622</v>
      </c>
      <c r="M182" s="423" t="s">
        <v>699</v>
      </c>
      <c r="N182" s="206">
        <v>184.23060000000001</v>
      </c>
      <c r="O182" s="546"/>
      <c r="R182" s="206"/>
    </row>
    <row r="183" spans="1:18" ht="15">
      <c r="A183" s="424">
        <v>234762</v>
      </c>
      <c r="B183" t="str">
        <f t="shared" si="7"/>
        <v>SEV-spojovacia lišta H08/16 3m oliva</v>
      </c>
      <c r="C183" s="209">
        <f t="shared" si="6"/>
        <v>0</v>
      </c>
      <c r="D183" s="542" t="s">
        <v>1131</v>
      </c>
      <c r="E183" s="542" t="s">
        <v>1405</v>
      </c>
      <c r="F183" s="542" t="s">
        <v>1483</v>
      </c>
      <c r="G183" s="542" t="s">
        <v>2494</v>
      </c>
      <c r="H183" s="426">
        <v>243.39456000000001</v>
      </c>
      <c r="I183" s="425">
        <v>0</v>
      </c>
      <c r="J183" s="425">
        <v>33.774619999999999</v>
      </c>
      <c r="K183" s="425">
        <v>2757.72928</v>
      </c>
      <c r="L183" s="542" t="s">
        <v>622</v>
      </c>
      <c r="M183" s="423" t="s">
        <v>699</v>
      </c>
      <c r="N183" s="206">
        <v>184.23060000000001</v>
      </c>
      <c r="O183" s="546"/>
      <c r="R183" s="206"/>
    </row>
    <row r="184" spans="1:18" ht="15">
      <c r="A184" s="424">
        <v>135151</v>
      </c>
      <c r="B184" t="str">
        <f t="shared" si="7"/>
        <v>SEVROLL spojovacia lišta H08/18 3m oliva</v>
      </c>
      <c r="C184" s="209">
        <f t="shared" si="6"/>
        <v>9.9790600000000005</v>
      </c>
      <c r="D184" s="542" t="s">
        <v>3264</v>
      </c>
      <c r="E184" s="542" t="s">
        <v>2498</v>
      </c>
      <c r="F184" s="542" t="s">
        <v>3265</v>
      </c>
      <c r="G184" s="542" t="s">
        <v>2499</v>
      </c>
      <c r="H184" s="426">
        <v>267.59168</v>
      </c>
      <c r="I184" s="425">
        <v>9.9790600000000005</v>
      </c>
      <c r="J184" s="425">
        <v>37.15</v>
      </c>
      <c r="K184" s="425">
        <v>3031.88951</v>
      </c>
      <c r="L184" s="542" t="s">
        <v>622</v>
      </c>
      <c r="M184" s="423" t="s">
        <v>699</v>
      </c>
      <c r="N184" s="206">
        <v>184.23060000000001</v>
      </c>
      <c r="O184" s="546"/>
      <c r="R184" s="206"/>
    </row>
    <row r="185" spans="1:18" ht="15">
      <c r="A185" s="424">
        <v>349809</v>
      </c>
      <c r="B185" t="str">
        <f t="shared" si="7"/>
        <v>SEVROLL Blue-V spodné vedenie 2m oliva</v>
      </c>
      <c r="C185" s="209">
        <f t="shared" si="6"/>
        <v>11.226179999999999</v>
      </c>
      <c r="D185" s="542" t="s">
        <v>4671</v>
      </c>
      <c r="E185" s="542" t="s">
        <v>1612</v>
      </c>
      <c r="F185" s="542" t="s">
        <v>4672</v>
      </c>
      <c r="G185" s="542" t="s">
        <v>84</v>
      </c>
      <c r="H185" s="426">
        <v>246.94739999999999</v>
      </c>
      <c r="I185" s="425">
        <v>11.226179999999999</v>
      </c>
      <c r="J185" s="425">
        <v>38.43</v>
      </c>
      <c r="K185" s="425">
        <v>2652.9033100000001</v>
      </c>
      <c r="L185" s="542" t="s">
        <v>621</v>
      </c>
      <c r="M185" s="423" t="s">
        <v>699</v>
      </c>
      <c r="N185" s="206">
        <v>185.3982</v>
      </c>
      <c r="O185" s="546"/>
      <c r="R185" s="206"/>
    </row>
    <row r="186" spans="1:18" ht="15">
      <c r="A186" s="424">
        <v>89013</v>
      </c>
      <c r="B186" t="str">
        <f t="shared" si="7"/>
        <v>SEVROLL spojovacia lišta T Decor 3m striebor</v>
      </c>
      <c r="C186" s="209">
        <f t="shared" si="6"/>
        <v>9.5692900000000005</v>
      </c>
      <c r="D186" s="542" t="s">
        <v>4185</v>
      </c>
      <c r="E186" s="542" t="s">
        <v>872</v>
      </c>
      <c r="F186" s="542" t="s">
        <v>4186</v>
      </c>
      <c r="G186" s="542" t="s">
        <v>2540</v>
      </c>
      <c r="H186" s="426">
        <v>256.91647999999998</v>
      </c>
      <c r="I186" s="425">
        <v>9.5692900000000005</v>
      </c>
      <c r="J186" s="425">
        <v>35.07</v>
      </c>
      <c r="K186" s="425">
        <v>2910.9364599999999</v>
      </c>
      <c r="L186" s="542" t="s">
        <v>621</v>
      </c>
      <c r="M186" s="423" t="s">
        <v>699</v>
      </c>
      <c r="N186" s="206">
        <v>185.53720000000001</v>
      </c>
      <c r="O186" s="546"/>
      <c r="R186" s="206"/>
    </row>
    <row r="187" spans="1:18" ht="15">
      <c r="A187" s="424">
        <v>349864</v>
      </c>
      <c r="B187" t="str">
        <f t="shared" si="7"/>
        <v/>
      </c>
      <c r="C187" s="209">
        <f t="shared" si="6"/>
        <v>11.06269</v>
      </c>
      <c r="D187" s="542" t="s">
        <v>3908</v>
      </c>
      <c r="E187" s="542" t="s">
        <v>1604</v>
      </c>
      <c r="F187" s="542" t="s">
        <v>84</v>
      </c>
      <c r="G187" s="542" t="s">
        <v>84</v>
      </c>
      <c r="H187" s="426">
        <v>252.20160000000001</v>
      </c>
      <c r="I187" s="425">
        <v>11.06269</v>
      </c>
      <c r="J187" s="425">
        <v>38.82</v>
      </c>
      <c r="K187" s="425">
        <v>2709.3480800000002</v>
      </c>
      <c r="L187" s="542" t="s">
        <v>622</v>
      </c>
      <c r="M187" s="423" t="s">
        <v>699</v>
      </c>
      <c r="N187" s="206">
        <v>186.14879999999999</v>
      </c>
      <c r="O187" s="546"/>
      <c r="R187" s="206"/>
    </row>
    <row r="188" spans="1:18" ht="15">
      <c r="A188" s="424">
        <v>229442</v>
      </c>
      <c r="B188" t="str">
        <f t="shared" si="7"/>
        <v>SEVROLL Master horný vozík 10mm - 2ks</v>
      </c>
      <c r="C188" s="209">
        <f t="shared" si="6"/>
        <v>7.5204500000000003</v>
      </c>
      <c r="D188" s="542" t="s">
        <v>4401</v>
      </c>
      <c r="E188" s="542" t="s">
        <v>1401</v>
      </c>
      <c r="F188" s="542" t="s">
        <v>4402</v>
      </c>
      <c r="G188" s="542" t="s">
        <v>2143</v>
      </c>
      <c r="H188" s="426">
        <v>241.25952000000001</v>
      </c>
      <c r="I188" s="425">
        <v>7.5204500000000003</v>
      </c>
      <c r="J188" s="425">
        <v>28.51</v>
      </c>
      <c r="K188" s="425">
        <v>2733.5386699999999</v>
      </c>
      <c r="L188" s="542" t="s">
        <v>621</v>
      </c>
      <c r="M188" s="423" t="s">
        <v>700</v>
      </c>
      <c r="N188" s="206">
        <v>186.84379999999999</v>
      </c>
      <c r="O188" s="546"/>
      <c r="R188" s="206"/>
    </row>
    <row r="189" spans="1:18" ht="15">
      <c r="A189" s="424">
        <v>143984</v>
      </c>
      <c r="B189" t="str">
        <f t="shared" si="7"/>
        <v>SEVROLL-ERGO UCH.LIŠTA.2,70m OLIVOVÁ</v>
      </c>
      <c r="C189" s="209">
        <f t="shared" si="6"/>
        <v>9.7139100000000003</v>
      </c>
      <c r="D189" s="542" t="s">
        <v>4609</v>
      </c>
      <c r="E189" s="542" t="s">
        <v>1783</v>
      </c>
      <c r="F189" s="542" t="s">
        <v>633</v>
      </c>
      <c r="G189" s="542" t="s">
        <v>1784</v>
      </c>
      <c r="H189" s="426">
        <v>260.47487999999998</v>
      </c>
      <c r="I189" s="425">
        <v>9.7139100000000003</v>
      </c>
      <c r="J189" s="425">
        <v>30.446729999999999</v>
      </c>
      <c r="K189" s="425">
        <v>2951.2541500000002</v>
      </c>
      <c r="L189" s="542" t="s">
        <v>621</v>
      </c>
      <c r="M189" s="423" t="s">
        <v>699</v>
      </c>
      <c r="N189" s="206">
        <v>188.15039999999999</v>
      </c>
      <c r="O189" s="546"/>
      <c r="R189" s="206"/>
    </row>
    <row r="190" spans="1:18" ht="15">
      <c r="A190" s="424">
        <v>135149</v>
      </c>
      <c r="B190" t="str">
        <f t="shared" si="7"/>
        <v>SEVROLL-SPOJOVACIA LIŠTA H04 3M STRIEBN</v>
      </c>
      <c r="C190" s="209">
        <f t="shared" si="6"/>
        <v>9.0631000000000004</v>
      </c>
      <c r="D190" s="542" t="s">
        <v>4217</v>
      </c>
      <c r="E190" s="542" t="s">
        <v>630</v>
      </c>
      <c r="F190" s="542" t="s">
        <v>4218</v>
      </c>
      <c r="G190" s="542" t="s">
        <v>2493</v>
      </c>
      <c r="H190" s="426">
        <v>260.47487999999998</v>
      </c>
      <c r="I190" s="425">
        <v>9.0631000000000004</v>
      </c>
      <c r="J190" s="425">
        <v>30.78</v>
      </c>
      <c r="K190" s="425">
        <v>2951.2541500000002</v>
      </c>
      <c r="L190" s="542" t="s">
        <v>621</v>
      </c>
      <c r="M190" s="423" t="s">
        <v>699</v>
      </c>
      <c r="N190" s="206">
        <v>188.15039999999999</v>
      </c>
      <c r="O190" s="546"/>
      <c r="R190" s="206"/>
    </row>
    <row r="191" spans="1:18" ht="15">
      <c r="A191" s="424">
        <v>135152</v>
      </c>
      <c r="B191" t="str">
        <f t="shared" si="7"/>
        <v>SEVROLL spojovacia lišta H08/18 3m strieborn</v>
      </c>
      <c r="C191" s="209">
        <f t="shared" si="6"/>
        <v>9.0631000000000004</v>
      </c>
      <c r="D191" s="542" t="s">
        <v>4215</v>
      </c>
      <c r="E191" s="542" t="s">
        <v>1369</v>
      </c>
      <c r="F191" s="542" t="s">
        <v>4216</v>
      </c>
      <c r="G191" s="542" t="s">
        <v>2500</v>
      </c>
      <c r="H191" s="426">
        <v>260.47487999999998</v>
      </c>
      <c r="I191" s="425">
        <v>9.0631000000000004</v>
      </c>
      <c r="J191" s="425">
        <v>30.446729999999999</v>
      </c>
      <c r="K191" s="425">
        <v>2951.2541500000002</v>
      </c>
      <c r="L191" s="542" t="s">
        <v>621</v>
      </c>
      <c r="M191" s="423" t="s">
        <v>699</v>
      </c>
      <c r="N191" s="206">
        <v>188.15039999999999</v>
      </c>
      <c r="O191" s="546"/>
      <c r="R191" s="206"/>
    </row>
    <row r="192" spans="1:18" ht="15">
      <c r="A192" s="424">
        <v>163125</v>
      </c>
      <c r="B192" t="str">
        <f t="shared" si="7"/>
        <v>SEVROLL Doubler II maska 3m strieborná</v>
      </c>
      <c r="C192" s="209">
        <f t="shared" si="6"/>
        <v>9.1113099999999996</v>
      </c>
      <c r="D192" s="542" t="s">
        <v>4647</v>
      </c>
      <c r="E192" s="542" t="s">
        <v>1084</v>
      </c>
      <c r="F192" s="542" t="s">
        <v>4648</v>
      </c>
      <c r="G192" s="542" t="s">
        <v>1687</v>
      </c>
      <c r="H192" s="426">
        <v>262.60991999999999</v>
      </c>
      <c r="I192" s="425">
        <v>9.1113099999999996</v>
      </c>
      <c r="J192" s="425">
        <v>31.03</v>
      </c>
      <c r="K192" s="425">
        <v>2975.4447500000001</v>
      </c>
      <c r="L192" s="542" t="s">
        <v>621</v>
      </c>
      <c r="M192" s="423" t="s">
        <v>699</v>
      </c>
      <c r="N192" s="206">
        <v>189.45699999999999</v>
      </c>
      <c r="O192" s="546"/>
      <c r="R192" s="206"/>
    </row>
    <row r="193" spans="1:18" ht="15">
      <c r="A193" s="424">
        <v>135136</v>
      </c>
      <c r="B193" t="str">
        <f t="shared" si="7"/>
        <v>SEVROLL-FACTOR 18 II-UCH.LIŠTA STR. 2,7m</v>
      </c>
      <c r="C193" s="209">
        <f t="shared" si="6"/>
        <v>10.67807</v>
      </c>
      <c r="D193" s="542" t="s">
        <v>4049</v>
      </c>
      <c r="E193" s="542" t="s">
        <v>1801</v>
      </c>
      <c r="F193" s="542" t="s">
        <v>585</v>
      </c>
      <c r="G193" s="542" t="s">
        <v>1802</v>
      </c>
      <c r="H193" s="426">
        <v>286.80703999999997</v>
      </c>
      <c r="I193" s="425">
        <v>10.67807</v>
      </c>
      <c r="J193" s="425">
        <v>34</v>
      </c>
      <c r="K193" s="425">
        <v>3249.6049699999999</v>
      </c>
      <c r="L193" s="542" t="s">
        <v>1025</v>
      </c>
      <c r="M193" s="423" t="s">
        <v>699</v>
      </c>
      <c r="N193" s="206">
        <v>190.1103</v>
      </c>
      <c r="O193" s="546"/>
      <c r="R193" s="206"/>
    </row>
    <row r="194" spans="1:18" ht="15">
      <c r="A194" s="424">
        <v>224018</v>
      </c>
      <c r="B194" t="str">
        <f t="shared" si="7"/>
        <v>SEVROLL spodné vedenie Simple 2,5m strieborn</v>
      </c>
      <c r="C194" s="209">
        <f t="shared" si="6"/>
        <v>11.662140000000001</v>
      </c>
      <c r="D194" s="542" t="s">
        <v>3334</v>
      </c>
      <c r="E194" s="542" t="s">
        <v>2399</v>
      </c>
      <c r="F194" s="542" t="s">
        <v>3335</v>
      </c>
      <c r="G194" s="542" t="s">
        <v>2400</v>
      </c>
      <c r="H194" s="426">
        <v>258.20639999999997</v>
      </c>
      <c r="I194" s="425">
        <v>11.662140000000001</v>
      </c>
      <c r="J194" s="425">
        <v>31.19</v>
      </c>
      <c r="K194" s="425">
        <v>2773.8563600000002</v>
      </c>
      <c r="L194" s="542" t="s">
        <v>622</v>
      </c>
      <c r="M194" s="423" t="s">
        <v>699</v>
      </c>
      <c r="N194" s="206">
        <v>190.6524</v>
      </c>
      <c r="O194" s="546"/>
      <c r="R194" s="206"/>
    </row>
    <row r="195" spans="1:18" ht="15">
      <c r="A195" s="424">
        <v>223394</v>
      </c>
      <c r="B195" t="str">
        <f t="shared" si="7"/>
        <v>SEVROLL uholník K2 3m čierna kartač</v>
      </c>
      <c r="C195" s="209">
        <f t="shared" ref="C195:C258" si="8">IF($A$2=1,H195,IF($A$2=2,I195,IF($A$2=3,J195,IF($A$2=4,K195,"zadat jazyk"))))</f>
        <v>9.2800399999999996</v>
      </c>
      <c r="D195" s="542" t="s">
        <v>4138</v>
      </c>
      <c r="E195" s="542" t="s">
        <v>1024</v>
      </c>
      <c r="F195" s="542" t="s">
        <v>4139</v>
      </c>
      <c r="G195" s="542" t="s">
        <v>2621</v>
      </c>
      <c r="H195" s="426">
        <v>266.88</v>
      </c>
      <c r="I195" s="425">
        <v>9.2800399999999996</v>
      </c>
      <c r="J195" s="425">
        <v>32.340000000000003</v>
      </c>
      <c r="K195" s="425">
        <v>3023.8259699999999</v>
      </c>
      <c r="L195" s="542" t="s">
        <v>621</v>
      </c>
      <c r="M195" s="423" t="s">
        <v>699</v>
      </c>
      <c r="N195" s="206">
        <v>192.7235</v>
      </c>
      <c r="O195" s="546"/>
      <c r="R195" s="206"/>
    </row>
    <row r="196" spans="1:18" ht="15">
      <c r="A196" s="424">
        <v>191702</v>
      </c>
      <c r="B196" t="str">
        <f t="shared" si="7"/>
        <v>SEVROLL uholník K2 Decor 3m oliva kartáč.</v>
      </c>
      <c r="C196" s="209">
        <f t="shared" si="8"/>
        <v>9.2800399999999996</v>
      </c>
      <c r="D196" s="542" t="s">
        <v>4124</v>
      </c>
      <c r="E196" s="542" t="s">
        <v>2635</v>
      </c>
      <c r="F196" s="542" t="s">
        <v>4125</v>
      </c>
      <c r="G196" s="542" t="s">
        <v>2636</v>
      </c>
      <c r="H196" s="426">
        <v>266.88</v>
      </c>
      <c r="I196" s="425">
        <v>9.2800399999999996</v>
      </c>
      <c r="J196" s="425">
        <v>32.340000000000003</v>
      </c>
      <c r="K196" s="425">
        <v>3023.8259699999999</v>
      </c>
      <c r="L196" s="542" t="s">
        <v>621</v>
      </c>
      <c r="M196" s="423" t="s">
        <v>699</v>
      </c>
      <c r="N196" s="206">
        <v>192.7235</v>
      </c>
      <c r="O196" s="546"/>
      <c r="R196" s="206"/>
    </row>
    <row r="197" spans="1:18" ht="15">
      <c r="A197" s="429">
        <v>213609</v>
      </c>
      <c r="B197" t="str">
        <f t="shared" si="7"/>
        <v>SEVROLL Hide M spodné vedenie Hide M 3m stri</v>
      </c>
      <c r="C197" s="209">
        <f t="shared" si="8"/>
        <v>9.6898099999999996</v>
      </c>
      <c r="D197" s="542" t="s">
        <v>4508</v>
      </c>
      <c r="E197" s="542" t="s">
        <v>2785</v>
      </c>
      <c r="F197" s="542" t="s">
        <v>4509</v>
      </c>
      <c r="G197" s="542" t="s">
        <v>2868</v>
      </c>
      <c r="H197" s="426">
        <v>281.87531999999999</v>
      </c>
      <c r="I197" s="425">
        <v>9.6898099999999996</v>
      </c>
      <c r="J197" s="425">
        <v>32.46</v>
      </c>
      <c r="K197" s="425">
        <v>3168.9696199999998</v>
      </c>
      <c r="L197" s="542" t="s">
        <v>621</v>
      </c>
      <c r="M197" s="430" t="s">
        <v>699</v>
      </c>
      <c r="N197" s="206">
        <v>194.99753999999999</v>
      </c>
      <c r="O197" s="546"/>
      <c r="R197" s="206"/>
    </row>
    <row r="198" spans="1:18" ht="15">
      <c r="A198" s="427">
        <v>167749</v>
      </c>
      <c r="B198" t="str">
        <f t="shared" si="7"/>
        <v>ASTIN kryt profilu 2,7m strieborná</v>
      </c>
      <c r="C198" s="209" t="e">
        <f t="shared" si="8"/>
        <v>#N/A</v>
      </c>
      <c r="D198" s="542" t="s">
        <v>3963</v>
      </c>
      <c r="E198" s="542" t="s">
        <v>974</v>
      </c>
      <c r="F198" s="542" t="s">
        <v>3964</v>
      </c>
      <c r="G198" s="542" t="s">
        <v>975</v>
      </c>
      <c r="H198" s="426">
        <v>204</v>
      </c>
      <c r="I198" s="425" t="e">
        <v>#N/A</v>
      </c>
      <c r="J198" s="425">
        <v>30.57469</v>
      </c>
      <c r="K198" s="425">
        <v>2455.2957500000002</v>
      </c>
      <c r="L198" s="542" t="s">
        <v>622</v>
      </c>
      <c r="M198" s="428" t="s">
        <v>699</v>
      </c>
      <c r="N198" s="206">
        <v>195.5</v>
      </c>
      <c r="O198" s="546"/>
      <c r="R198" s="206"/>
    </row>
    <row r="199" spans="1:18" ht="15">
      <c r="A199" s="429">
        <v>189177</v>
      </c>
      <c r="B199" t="str">
        <f t="shared" si="7"/>
        <v>SEVROLL - HIDE N DOLNÉ VEDENIE 2,35M STR</v>
      </c>
      <c r="C199" s="209">
        <f t="shared" si="8"/>
        <v>10.340619999999999</v>
      </c>
      <c r="D199" s="542" t="s">
        <v>3607</v>
      </c>
      <c r="E199" s="542" t="s">
        <v>1064</v>
      </c>
      <c r="F199" s="542" t="s">
        <v>1065</v>
      </c>
      <c r="G199" s="542" t="s">
        <v>2810</v>
      </c>
      <c r="H199" s="426">
        <v>300.52355999999997</v>
      </c>
      <c r="I199" s="425">
        <v>10.340619999999999</v>
      </c>
      <c r="J199" s="425">
        <v>34.61</v>
      </c>
      <c r="K199" s="425">
        <v>3378.6215400000001</v>
      </c>
      <c r="L199" s="542" t="s">
        <v>622</v>
      </c>
      <c r="M199" s="430" t="s">
        <v>699</v>
      </c>
      <c r="N199" s="206">
        <v>198.15284</v>
      </c>
      <c r="O199" s="546"/>
      <c r="R199" s="206"/>
    </row>
    <row r="200" spans="1:18" ht="15">
      <c r="A200" s="424">
        <v>224148</v>
      </c>
      <c r="B200" t="str">
        <f t="shared" si="7"/>
        <v>SEVROLL hor.vod.lišta Simple/Blue 2,5m(10mm)str.</v>
      </c>
      <c r="C200" s="209">
        <f t="shared" si="8"/>
        <v>11.60765</v>
      </c>
      <c r="D200" s="542" t="s">
        <v>3582</v>
      </c>
      <c r="E200" s="542" t="s">
        <v>3583</v>
      </c>
      <c r="F200" s="542" t="s">
        <v>3290</v>
      </c>
      <c r="G200" s="542" t="s">
        <v>3584</v>
      </c>
      <c r="H200" s="426">
        <v>268.71480000000003</v>
      </c>
      <c r="I200" s="425">
        <v>11.60765</v>
      </c>
      <c r="J200" s="425">
        <v>35.979999999999997</v>
      </c>
      <c r="K200" s="425">
        <v>2886.7458499999998</v>
      </c>
      <c r="L200" s="542" t="s">
        <v>622</v>
      </c>
      <c r="M200" s="423" t="s">
        <v>699</v>
      </c>
      <c r="N200" s="206">
        <v>198.1584</v>
      </c>
      <c r="O200" s="546"/>
      <c r="R200" s="206"/>
    </row>
    <row r="201" spans="1:18" ht="15">
      <c r="A201" s="424">
        <v>224152</v>
      </c>
      <c r="B201" t="str">
        <f t="shared" si="7"/>
        <v>SEVROLL dol.vod.lišta Simple/Blue 1,5m(10mm)str.</v>
      </c>
      <c r="C201" s="209">
        <f t="shared" si="8"/>
        <v>11.06269</v>
      </c>
      <c r="D201" s="542" t="s">
        <v>4247</v>
      </c>
      <c r="E201" s="542" t="s">
        <v>4248</v>
      </c>
      <c r="F201" s="542" t="s">
        <v>4250</v>
      </c>
      <c r="G201" s="542" t="s">
        <v>4249</v>
      </c>
      <c r="H201" s="426">
        <v>256.70519999999999</v>
      </c>
      <c r="I201" s="425">
        <v>11.06269</v>
      </c>
      <c r="J201" s="425">
        <v>32.43</v>
      </c>
      <c r="K201" s="425">
        <v>2757.72928</v>
      </c>
      <c r="L201" s="542" t="s">
        <v>621</v>
      </c>
      <c r="M201" s="423" t="s">
        <v>699</v>
      </c>
      <c r="N201" s="206">
        <v>198.1584</v>
      </c>
      <c r="O201" s="546"/>
      <c r="R201" s="206"/>
    </row>
    <row r="202" spans="1:18" ht="15">
      <c r="A202" s="424">
        <v>163132</v>
      </c>
      <c r="B202" t="str">
        <f t="shared" si="7"/>
        <v>SEVROLL-MASKA DOUBLER II 3 M OLIVA</v>
      </c>
      <c r="C202" s="209">
        <f t="shared" si="8"/>
        <v>10.05137</v>
      </c>
      <c r="D202" s="542" t="s">
        <v>3855</v>
      </c>
      <c r="E202" s="542" t="s">
        <v>1087</v>
      </c>
      <c r="F202" s="542" t="s">
        <v>681</v>
      </c>
      <c r="G202" s="542" t="s">
        <v>1686</v>
      </c>
      <c r="H202" s="426">
        <v>288.94207999999998</v>
      </c>
      <c r="I202" s="425">
        <v>10.05137</v>
      </c>
      <c r="J202" s="425">
        <v>34.15</v>
      </c>
      <c r="K202" s="425">
        <v>3273.7955900000002</v>
      </c>
      <c r="L202" s="542" t="s">
        <v>622</v>
      </c>
      <c r="M202" s="423" t="s">
        <v>699</v>
      </c>
      <c r="N202" s="206">
        <v>198.60319999999999</v>
      </c>
      <c r="O202" s="546"/>
      <c r="R202" s="206"/>
    </row>
    <row r="203" spans="1:18" ht="15">
      <c r="A203" s="424">
        <v>349813</v>
      </c>
      <c r="B203" t="str">
        <f t="shared" si="7"/>
        <v/>
      </c>
      <c r="C203" s="209">
        <f t="shared" si="8"/>
        <v>12.28885</v>
      </c>
      <c r="D203" s="542" t="s">
        <v>3900</v>
      </c>
      <c r="E203" s="542" t="s">
        <v>1611</v>
      </c>
      <c r="F203" s="542" t="s">
        <v>84</v>
      </c>
      <c r="G203" s="542" t="s">
        <v>84</v>
      </c>
      <c r="H203" s="426">
        <v>270.21600000000001</v>
      </c>
      <c r="I203" s="425">
        <v>12.28885</v>
      </c>
      <c r="J203" s="425">
        <v>42.55</v>
      </c>
      <c r="K203" s="425">
        <v>2902.8729199999998</v>
      </c>
      <c r="L203" s="542" t="s">
        <v>622</v>
      </c>
      <c r="M203" s="423" t="s">
        <v>699</v>
      </c>
      <c r="N203" s="206">
        <v>198.90899999999999</v>
      </c>
      <c r="O203" s="546"/>
      <c r="R203" s="206"/>
    </row>
    <row r="204" spans="1:18" ht="15">
      <c r="A204" s="424">
        <v>308635</v>
      </c>
      <c r="B204" t="str">
        <f t="shared" si="7"/>
        <v>SEVROLL tlmič dorazu Mini SV-60</v>
      </c>
      <c r="C204" s="209">
        <f t="shared" si="8"/>
        <v>9.8103300000000004</v>
      </c>
      <c r="D204" s="542" t="s">
        <v>3233</v>
      </c>
      <c r="E204" s="542" t="s">
        <v>2568</v>
      </c>
      <c r="F204" s="542" t="s">
        <v>3234</v>
      </c>
      <c r="G204" s="542" t="s">
        <v>2569</v>
      </c>
      <c r="H204" s="426">
        <v>263.32159999999999</v>
      </c>
      <c r="I204" s="425">
        <v>9.8103300000000004</v>
      </c>
      <c r="J204" s="425">
        <v>39.01</v>
      </c>
      <c r="K204" s="425">
        <v>2983.50828</v>
      </c>
      <c r="L204" s="542" t="s">
        <v>622</v>
      </c>
      <c r="M204" s="423" t="s">
        <v>699</v>
      </c>
      <c r="N204" s="206">
        <v>199.25649999999999</v>
      </c>
      <c r="O204" s="546"/>
      <c r="R204" s="206"/>
    </row>
    <row r="205" spans="1:18" ht="15">
      <c r="A205" s="424">
        <v>228213</v>
      </c>
      <c r="B205" t="str">
        <f t="shared" si="7"/>
        <v>SEVROLL Fiesta 16 úchytová lišta 2,70m strie</v>
      </c>
      <c r="C205" s="209">
        <f t="shared" si="8"/>
        <v>8.7900600000000004</v>
      </c>
      <c r="D205" s="542" t="s">
        <v>3770</v>
      </c>
      <c r="E205" s="542" t="s">
        <v>1148</v>
      </c>
      <c r="F205" s="542" t="s">
        <v>3771</v>
      </c>
      <c r="G205" s="542" t="s">
        <v>1819</v>
      </c>
      <c r="H205" s="426">
        <v>253.15375</v>
      </c>
      <c r="I205" s="425">
        <v>8.7900600000000004</v>
      </c>
      <c r="J205" s="425">
        <v>30.724810000000002</v>
      </c>
      <c r="K205" s="425">
        <v>0</v>
      </c>
      <c r="L205" s="542" t="s">
        <v>623</v>
      </c>
      <c r="M205" s="423" t="s">
        <v>699</v>
      </c>
      <c r="N205" s="206">
        <v>202.523</v>
      </c>
      <c r="O205" s="546"/>
      <c r="R205" s="206"/>
    </row>
    <row r="206" spans="1:18" ht="15">
      <c r="A206" s="429">
        <v>223405</v>
      </c>
      <c r="B206" t="str">
        <f t="shared" si="7"/>
        <v>SEVROLL dolné vedenie Hide M 3m oliva</v>
      </c>
      <c r="C206" s="209">
        <f t="shared" si="8"/>
        <v>10.629860000000001</v>
      </c>
      <c r="D206" s="542" t="s">
        <v>3612</v>
      </c>
      <c r="E206" s="542" t="s">
        <v>1307</v>
      </c>
      <c r="F206" s="542" t="s">
        <v>3613</v>
      </c>
      <c r="G206" s="542" t="s">
        <v>2813</v>
      </c>
      <c r="H206" s="426">
        <v>308.41320000000002</v>
      </c>
      <c r="I206" s="425">
        <v>10.629860000000001</v>
      </c>
      <c r="J206" s="425">
        <v>35.520000000000003</v>
      </c>
      <c r="K206" s="425">
        <v>3467.32044</v>
      </c>
      <c r="L206" s="542" t="s">
        <v>622</v>
      </c>
      <c r="M206" s="430" t="s">
        <v>699</v>
      </c>
      <c r="N206" s="206">
        <v>203.20132000000001</v>
      </c>
      <c r="O206" s="546"/>
      <c r="R206" s="206"/>
    </row>
    <row r="207" spans="1:18" ht="15">
      <c r="A207" s="424">
        <v>349865</v>
      </c>
      <c r="B207" t="str">
        <f t="shared" si="7"/>
        <v/>
      </c>
      <c r="C207" s="209">
        <f t="shared" si="8"/>
        <v>12.534079999999999</v>
      </c>
      <c r="D207" s="542" t="s">
        <v>3909</v>
      </c>
      <c r="E207" s="542" t="s">
        <v>1603</v>
      </c>
      <c r="F207" s="542" t="s">
        <v>84</v>
      </c>
      <c r="G207" s="542" t="s">
        <v>84</v>
      </c>
      <c r="H207" s="426">
        <v>285.22800000000001</v>
      </c>
      <c r="I207" s="425">
        <v>12.534079999999999</v>
      </c>
      <c r="J207" s="425">
        <v>43.33</v>
      </c>
      <c r="K207" s="425">
        <v>3064.1436399999998</v>
      </c>
      <c r="L207" s="542" t="s">
        <v>622</v>
      </c>
      <c r="M207" s="423" t="s">
        <v>699</v>
      </c>
      <c r="N207" s="206">
        <v>203.4126</v>
      </c>
      <c r="O207" s="546"/>
      <c r="R207" s="206"/>
    </row>
    <row r="208" spans="1:18" ht="15">
      <c r="A208" s="424">
        <v>346115</v>
      </c>
      <c r="B208" t="str">
        <f t="shared" si="7"/>
        <v/>
      </c>
      <c r="C208" s="209">
        <f t="shared" si="8"/>
        <v>10.75038</v>
      </c>
      <c r="D208" s="542" t="s">
        <v>3517</v>
      </c>
      <c r="E208" s="542" t="s">
        <v>2131</v>
      </c>
      <c r="F208" s="542" t="s">
        <v>84</v>
      </c>
      <c r="G208" s="542" t="s">
        <v>3518</v>
      </c>
      <c r="H208" s="426">
        <v>297.48223999999999</v>
      </c>
      <c r="I208" s="425">
        <v>10.75038</v>
      </c>
      <c r="J208" s="425">
        <v>37.44</v>
      </c>
      <c r="K208" s="425">
        <v>3370.558</v>
      </c>
      <c r="L208" s="542" t="s">
        <v>622</v>
      </c>
      <c r="M208" s="423" t="s">
        <v>699</v>
      </c>
      <c r="N208" s="206">
        <v>204.4829</v>
      </c>
      <c r="O208" s="546"/>
      <c r="R208" s="206"/>
    </row>
    <row r="209" spans="1:18" ht="15">
      <c r="A209" s="424">
        <v>308687</v>
      </c>
      <c r="B209" t="str">
        <f t="shared" si="7"/>
        <v>SEVROLL Fala úchytová lišta 10mm 2,5m strie</v>
      </c>
      <c r="C209" s="209">
        <f t="shared" si="8"/>
        <v>10.68122</v>
      </c>
      <c r="D209" s="542" t="s">
        <v>3776</v>
      </c>
      <c r="E209" s="542" t="s">
        <v>1807</v>
      </c>
      <c r="F209" s="542" t="s">
        <v>3777</v>
      </c>
      <c r="G209" s="542" t="s">
        <v>1808</v>
      </c>
      <c r="H209" s="426">
        <v>370.79640000000001</v>
      </c>
      <c r="I209" s="425">
        <v>10.68122</v>
      </c>
      <c r="J209" s="425">
        <v>41.55</v>
      </c>
      <c r="K209" s="425">
        <v>3983.3867399999999</v>
      </c>
      <c r="L209" s="542" t="s">
        <v>622</v>
      </c>
      <c r="M209" s="423" t="s">
        <v>699</v>
      </c>
      <c r="N209" s="206">
        <v>204.91380000000001</v>
      </c>
      <c r="O209" s="546"/>
      <c r="R209" s="206"/>
    </row>
    <row r="210" spans="1:18" ht="15">
      <c r="A210" s="424">
        <v>308631</v>
      </c>
      <c r="B210" t="str">
        <f t="shared" si="7"/>
        <v>SEVROLL klin pre lamino (100 ks) tl. 2mm</v>
      </c>
      <c r="C210" s="209">
        <f t="shared" si="8"/>
        <v>9.0389999999999997</v>
      </c>
      <c r="D210" s="542" t="s">
        <v>4443</v>
      </c>
      <c r="E210" s="542" t="s">
        <v>4444</v>
      </c>
      <c r="F210" s="542" t="s">
        <v>4445</v>
      </c>
      <c r="G210" s="542" t="s">
        <v>1532</v>
      </c>
      <c r="H210" s="426">
        <v>260.47487999999998</v>
      </c>
      <c r="I210" s="425">
        <v>9.0389999999999997</v>
      </c>
      <c r="J210" s="425">
        <v>30.78</v>
      </c>
      <c r="K210" s="425">
        <v>2951.2541500000002</v>
      </c>
      <c r="L210" s="542" t="s">
        <v>621</v>
      </c>
      <c r="M210" s="423" t="s">
        <v>702</v>
      </c>
      <c r="N210" s="206">
        <v>207.09610000000001</v>
      </c>
      <c r="O210" s="546"/>
      <c r="R210" s="206"/>
    </row>
    <row r="211" spans="1:18" ht="15">
      <c r="A211" s="424">
        <v>308640</v>
      </c>
      <c r="B211" t="str">
        <f t="shared" si="7"/>
        <v>SEVROLL okrasná lišta S18 s lepidlom 3m str</v>
      </c>
      <c r="C211" s="209">
        <f t="shared" si="8"/>
        <v>10.43703</v>
      </c>
      <c r="D211" s="542" t="s">
        <v>3432</v>
      </c>
      <c r="E211" s="542" t="s">
        <v>2266</v>
      </c>
      <c r="F211" s="542" t="s">
        <v>3433</v>
      </c>
      <c r="G211" s="542" t="s">
        <v>2267</v>
      </c>
      <c r="H211" s="426">
        <v>300.32896</v>
      </c>
      <c r="I211" s="425">
        <v>10.43703</v>
      </c>
      <c r="J211" s="425">
        <v>35.49</v>
      </c>
      <c r="K211" s="425">
        <v>3402.8121500000002</v>
      </c>
      <c r="L211" s="542" t="s">
        <v>622</v>
      </c>
      <c r="M211" s="423" t="s">
        <v>699</v>
      </c>
      <c r="N211" s="206">
        <v>207.09610000000001</v>
      </c>
      <c r="O211" s="546"/>
      <c r="R211" s="206"/>
    </row>
    <row r="212" spans="1:18" ht="15">
      <c r="A212" s="424">
        <v>197746</v>
      </c>
      <c r="B212" t="str">
        <f t="shared" si="7"/>
        <v>SEVROLL Optima spodné vedenie 2,4m surová</v>
      </c>
      <c r="C212" s="209">
        <f t="shared" si="8"/>
        <v>10.412929999999999</v>
      </c>
      <c r="D212" s="542" t="s">
        <v>3417</v>
      </c>
      <c r="E212" s="542" t="s">
        <v>918</v>
      </c>
      <c r="F212" s="542" t="s">
        <v>3418</v>
      </c>
      <c r="G212" s="542" t="s">
        <v>2280</v>
      </c>
      <c r="H212" s="426">
        <v>300.32896</v>
      </c>
      <c r="I212" s="425">
        <v>10.412929999999999</v>
      </c>
      <c r="J212" s="425">
        <v>35.49</v>
      </c>
      <c r="K212" s="425">
        <v>3402.8121500000002</v>
      </c>
      <c r="L212" s="542" t="s">
        <v>622</v>
      </c>
      <c r="M212" s="423" t="s">
        <v>699</v>
      </c>
      <c r="N212" s="206">
        <v>207.09610000000001</v>
      </c>
      <c r="O212" s="546"/>
      <c r="R212" s="206"/>
    </row>
    <row r="213" spans="1:18" ht="15">
      <c r="A213" s="424">
        <v>130994</v>
      </c>
      <c r="B213" t="str">
        <f t="shared" si="7"/>
        <v>SEVROLL-SPOJOVACia LIŠTA H04 3M OLIVA</v>
      </c>
      <c r="C213" s="209">
        <f t="shared" si="8"/>
        <v>9.9549500000000002</v>
      </c>
      <c r="D213" s="542" t="s">
        <v>3268</v>
      </c>
      <c r="E213" s="542" t="s">
        <v>1367</v>
      </c>
      <c r="F213" s="542" t="s">
        <v>3269</v>
      </c>
      <c r="G213" s="542" t="s">
        <v>2492</v>
      </c>
      <c r="H213" s="426">
        <v>286.80703999999997</v>
      </c>
      <c r="I213" s="425">
        <v>9.9549500000000002</v>
      </c>
      <c r="J213" s="425">
        <v>33.89</v>
      </c>
      <c r="K213" s="425">
        <v>3249.6049699999999</v>
      </c>
      <c r="L213" s="542" t="s">
        <v>621</v>
      </c>
      <c r="M213" s="423" t="s">
        <v>699</v>
      </c>
      <c r="N213" s="206">
        <v>207.09610000000001</v>
      </c>
      <c r="O213" s="546"/>
      <c r="R213" s="206"/>
    </row>
    <row r="214" spans="1:18" ht="15">
      <c r="A214" s="424">
        <v>224155</v>
      </c>
      <c r="B214" t="str">
        <f t="shared" si="7"/>
        <v>SEVROLL hor.vod.lišta Simple/Blue 1,5m(10mm)oliva</v>
      </c>
      <c r="C214" s="209">
        <f t="shared" si="8"/>
        <v>12.47958</v>
      </c>
      <c r="D214" s="542" t="s">
        <v>3295</v>
      </c>
      <c r="E214" s="542" t="s">
        <v>3296</v>
      </c>
      <c r="F214" s="542" t="s">
        <v>3298</v>
      </c>
      <c r="G214" s="542" t="s">
        <v>3297</v>
      </c>
      <c r="H214" s="426">
        <v>288.98099999999999</v>
      </c>
      <c r="I214" s="425">
        <v>12.47958</v>
      </c>
      <c r="J214" s="425">
        <v>37.26</v>
      </c>
      <c r="K214" s="425">
        <v>3104.4613300000001</v>
      </c>
      <c r="L214" s="542" t="s">
        <v>622</v>
      </c>
      <c r="M214" s="423" t="s">
        <v>699</v>
      </c>
      <c r="N214" s="206">
        <v>207.16560000000001</v>
      </c>
      <c r="O214" s="546"/>
      <c r="R214" s="206"/>
    </row>
    <row r="215" spans="1:18" ht="15">
      <c r="A215" s="424">
        <v>284529</v>
      </c>
      <c r="B215" t="str">
        <f t="shared" si="7"/>
        <v>SEVROLL Pax záslepka profilu 4 ks RAL9003</v>
      </c>
      <c r="C215" s="209">
        <f t="shared" si="8"/>
        <v>10.388820000000001</v>
      </c>
      <c r="D215" s="542" t="s">
        <v>3399</v>
      </c>
      <c r="E215" s="542" t="s">
        <v>2304</v>
      </c>
      <c r="F215" s="542" t="s">
        <v>3400</v>
      </c>
      <c r="G215" s="542" t="s">
        <v>2305</v>
      </c>
      <c r="H215" s="426">
        <v>304.59904</v>
      </c>
      <c r="I215" s="425">
        <v>10.388820000000001</v>
      </c>
      <c r="J215" s="425">
        <v>36</v>
      </c>
      <c r="K215" s="425">
        <v>3451.1933600000002</v>
      </c>
      <c r="L215" s="542" t="s">
        <v>622</v>
      </c>
      <c r="M215" s="423" t="s">
        <v>702</v>
      </c>
      <c r="N215" s="206">
        <v>209.05600000000001</v>
      </c>
      <c r="O215" s="546"/>
      <c r="R215" s="206"/>
    </row>
    <row r="216" spans="1:18" ht="15">
      <c r="A216" s="424">
        <v>132956</v>
      </c>
      <c r="B216" t="str">
        <f t="shared" si="7"/>
        <v>SEVROLL-SP.VOZÍK WD10 V DUO 60 KG</v>
      </c>
      <c r="C216" s="209">
        <f t="shared" si="8"/>
        <v>8.0074400000000008</v>
      </c>
      <c r="D216" s="542" t="s">
        <v>3034</v>
      </c>
      <c r="E216" s="542" t="s">
        <v>3035</v>
      </c>
      <c r="F216" s="542" t="s">
        <v>629</v>
      </c>
      <c r="G216" s="542" t="s">
        <v>2485</v>
      </c>
      <c r="H216" s="426">
        <v>0</v>
      </c>
      <c r="I216" s="425">
        <v>8.0074400000000008</v>
      </c>
      <c r="J216" s="425">
        <v>0</v>
      </c>
      <c r="K216" s="425">
        <v>0</v>
      </c>
      <c r="L216" s="542" t="s">
        <v>623</v>
      </c>
      <c r="M216" s="423" t="s">
        <v>699</v>
      </c>
      <c r="N216" s="206">
        <v>211.01589999999999</v>
      </c>
      <c r="O216" s="546"/>
      <c r="R216" s="206"/>
    </row>
    <row r="217" spans="1:18" ht="15">
      <c r="A217" s="424">
        <v>135505</v>
      </c>
      <c r="B217" t="str">
        <f t="shared" si="7"/>
        <v>SEVROLL Factor 16 II-úchyt.lišta oliva 2,7m</v>
      </c>
      <c r="C217" s="209">
        <f t="shared" si="8"/>
        <v>11.702489999999999</v>
      </c>
      <c r="D217" s="542" t="s">
        <v>3781</v>
      </c>
      <c r="E217" s="542" t="s">
        <v>1796</v>
      </c>
      <c r="F217" s="542" t="s">
        <v>3782</v>
      </c>
      <c r="G217" s="542" t="s">
        <v>1797</v>
      </c>
      <c r="H217" s="426">
        <v>336.98048</v>
      </c>
      <c r="I217" s="425">
        <v>11.702489999999999</v>
      </c>
      <c r="J217" s="425">
        <v>81.86</v>
      </c>
      <c r="K217" s="425">
        <v>3818.0842600000001</v>
      </c>
      <c r="L217" s="542" t="s">
        <v>622</v>
      </c>
      <c r="M217" s="423" t="s">
        <v>699</v>
      </c>
      <c r="N217" s="206">
        <v>212.32249999999999</v>
      </c>
      <c r="O217" s="546"/>
      <c r="R217" s="206"/>
    </row>
    <row r="218" spans="1:18" ht="15">
      <c r="A218" s="424">
        <v>135504</v>
      </c>
      <c r="B218" t="str">
        <f t="shared" si="7"/>
        <v>SEVROLL Factor 18 II-úchytová lišta zlatá 2,</v>
      </c>
      <c r="C218" s="209">
        <f t="shared" si="8"/>
        <v>7.3723099999999997</v>
      </c>
      <c r="D218" s="542" t="s">
        <v>3094</v>
      </c>
      <c r="E218" s="542" t="s">
        <v>1803</v>
      </c>
      <c r="F218" s="542" t="s">
        <v>3095</v>
      </c>
      <c r="G218" s="542" t="s">
        <v>1804</v>
      </c>
      <c r="H218" s="426">
        <v>0</v>
      </c>
      <c r="I218" s="425">
        <v>7.3723099999999997</v>
      </c>
      <c r="J218" s="425">
        <v>0</v>
      </c>
      <c r="K218" s="425">
        <v>0</v>
      </c>
      <c r="L218" s="542" t="s">
        <v>623</v>
      </c>
      <c r="M218" s="423" t="s">
        <v>699</v>
      </c>
      <c r="N218" s="206">
        <v>212.32249999999999</v>
      </c>
      <c r="O218" s="546"/>
      <c r="R218" s="206"/>
    </row>
    <row r="219" spans="1:18" ht="15">
      <c r="A219" s="424">
        <v>224010</v>
      </c>
      <c r="B219" t="str">
        <f t="shared" si="7"/>
        <v>SEVROLL Simple horné vedenie 1,5m strieborná</v>
      </c>
      <c r="C219" s="209">
        <f t="shared" si="8"/>
        <v>12.93224</v>
      </c>
      <c r="D219" s="542" t="s">
        <v>3061</v>
      </c>
      <c r="E219" s="542" t="s">
        <v>2370</v>
      </c>
      <c r="F219" s="542" t="s">
        <v>3062</v>
      </c>
      <c r="G219" s="542" t="s">
        <v>2371</v>
      </c>
      <c r="H219" s="426">
        <v>288.23039999999997</v>
      </c>
      <c r="I219" s="425">
        <v>12.93224</v>
      </c>
      <c r="J219" s="425">
        <v>34.799999999999997</v>
      </c>
      <c r="K219" s="425">
        <v>3096.39779</v>
      </c>
      <c r="L219" s="542" t="s">
        <v>623</v>
      </c>
      <c r="M219" s="423" t="s">
        <v>699</v>
      </c>
      <c r="N219" s="206">
        <v>212.41980000000001</v>
      </c>
      <c r="O219" s="546"/>
      <c r="R219" s="206"/>
    </row>
    <row r="220" spans="1:18" ht="15">
      <c r="A220" s="424">
        <v>308647</v>
      </c>
      <c r="B220" t="str">
        <f t="shared" si="7"/>
        <v>SEVROLL Gemini spodné vedenie 1,7m oliva</v>
      </c>
      <c r="C220" s="209">
        <f t="shared" si="8"/>
        <v>11.063739999999999</v>
      </c>
      <c r="D220" s="542" t="s">
        <v>4539</v>
      </c>
      <c r="E220" s="542" t="s">
        <v>4540</v>
      </c>
      <c r="F220" s="542" t="s">
        <v>4541</v>
      </c>
      <c r="G220" s="542" t="s">
        <v>1962</v>
      </c>
      <c r="H220" s="426">
        <v>296.77055999999999</v>
      </c>
      <c r="I220" s="425">
        <v>11.063739999999999</v>
      </c>
      <c r="J220" s="425">
        <v>36.659999999999997</v>
      </c>
      <c r="K220" s="425">
        <v>3362.49449</v>
      </c>
      <c r="L220" s="542" t="s">
        <v>621</v>
      </c>
      <c r="M220" s="423" t="s">
        <v>699</v>
      </c>
      <c r="N220" s="206">
        <v>214.2824</v>
      </c>
      <c r="O220" s="546"/>
      <c r="R220" s="206"/>
    </row>
    <row r="221" spans="1:18" ht="15">
      <c r="A221" s="424">
        <v>346116</v>
      </c>
      <c r="B221" t="str">
        <f t="shared" si="7"/>
        <v>SEVROLL maska Elegant II 4,05m čierna kartáčovaná</v>
      </c>
      <c r="C221" s="209">
        <f t="shared" si="8"/>
        <v>10.75038</v>
      </c>
      <c r="D221" s="542" t="s">
        <v>4409</v>
      </c>
      <c r="E221" s="542" t="s">
        <v>2129</v>
      </c>
      <c r="F221" s="542" t="s">
        <v>4411</v>
      </c>
      <c r="G221" s="542" t="s">
        <v>4410</v>
      </c>
      <c r="H221" s="426">
        <v>297.48223999999999</v>
      </c>
      <c r="I221" s="425">
        <v>10.75038</v>
      </c>
      <c r="J221" s="425">
        <v>37.44</v>
      </c>
      <c r="K221" s="425">
        <v>3370.558</v>
      </c>
      <c r="L221" s="542" t="s">
        <v>621</v>
      </c>
      <c r="M221" s="423" t="s">
        <v>699</v>
      </c>
      <c r="N221" s="206">
        <v>214.9357</v>
      </c>
      <c r="O221" s="546"/>
      <c r="R221" s="206"/>
    </row>
    <row r="222" spans="1:18" ht="15">
      <c r="A222" s="424">
        <v>346114</v>
      </c>
      <c r="B222" t="str">
        <f t="shared" si="7"/>
        <v>SEVROLL maska Elegant II 4,05m oliva kartáčovaná</v>
      </c>
      <c r="C222" s="209">
        <f t="shared" si="8"/>
        <v>10.75038</v>
      </c>
      <c r="D222" s="542" t="s">
        <v>4406</v>
      </c>
      <c r="E222" s="542" t="s">
        <v>2131</v>
      </c>
      <c r="F222" s="542" t="s">
        <v>4406</v>
      </c>
      <c r="G222" s="542" t="s">
        <v>4407</v>
      </c>
      <c r="H222" s="426">
        <v>297.48223999999999</v>
      </c>
      <c r="I222" s="425">
        <v>10.75038</v>
      </c>
      <c r="J222" s="425">
        <v>37.44</v>
      </c>
      <c r="K222" s="425">
        <v>3370.558</v>
      </c>
      <c r="L222" s="542" t="s">
        <v>621</v>
      </c>
      <c r="M222" s="423" t="s">
        <v>699</v>
      </c>
      <c r="N222" s="206">
        <v>214.9357</v>
      </c>
      <c r="O222" s="546"/>
      <c r="R222" s="206"/>
    </row>
    <row r="223" spans="1:18" ht="15">
      <c r="A223" s="429">
        <v>279094</v>
      </c>
      <c r="B223" t="str">
        <f t="shared" si="7"/>
        <v>SEVROLL krycí profil Galaxy 2m</v>
      </c>
      <c r="C223" s="209">
        <f t="shared" si="8"/>
        <v>12.6305</v>
      </c>
      <c r="D223" s="542" t="s">
        <v>4440</v>
      </c>
      <c r="E223" s="542" t="s">
        <v>2784</v>
      </c>
      <c r="F223" s="542" t="s">
        <v>4440</v>
      </c>
      <c r="G223" s="542" t="s">
        <v>2866</v>
      </c>
      <c r="H223" s="426">
        <v>316.30284</v>
      </c>
      <c r="I223" s="425">
        <v>12.6305</v>
      </c>
      <c r="J223" s="425">
        <v>38.46</v>
      </c>
      <c r="K223" s="425">
        <v>3556.0193300000001</v>
      </c>
      <c r="L223" s="542" t="s">
        <v>621</v>
      </c>
      <c r="M223" s="430" t="s">
        <v>699</v>
      </c>
      <c r="N223" s="206">
        <v>215.19146000000001</v>
      </c>
      <c r="O223" s="546"/>
      <c r="R223" s="206"/>
    </row>
    <row r="224" spans="1:18" ht="15">
      <c r="A224" s="424">
        <v>288125</v>
      </c>
      <c r="B224" t="str">
        <f t="shared" si="7"/>
        <v>SEVROLL Pax nalepovacia úchytka biela</v>
      </c>
      <c r="C224" s="209">
        <f t="shared" si="8"/>
        <v>9.4246599999999994</v>
      </c>
      <c r="D224" s="542" t="s">
        <v>4322</v>
      </c>
      <c r="E224" s="542" t="s">
        <v>2287</v>
      </c>
      <c r="F224" s="542" t="s">
        <v>4323</v>
      </c>
      <c r="G224" s="542" t="s">
        <v>2288</v>
      </c>
      <c r="H224" s="426">
        <v>271.86176</v>
      </c>
      <c r="I224" s="425">
        <v>9.4246599999999994</v>
      </c>
      <c r="J224" s="425">
        <v>32.31</v>
      </c>
      <c r="K224" s="425">
        <v>3080.27072</v>
      </c>
      <c r="L224" s="542" t="s">
        <v>621</v>
      </c>
      <c r="M224" s="423" t="s">
        <v>699</v>
      </c>
      <c r="N224" s="206">
        <v>215.589</v>
      </c>
      <c r="O224" s="546"/>
      <c r="R224" s="206"/>
    </row>
    <row r="225" spans="1:18" ht="15">
      <c r="A225" s="424">
        <v>281979</v>
      </c>
      <c r="B225" t="str">
        <f t="shared" si="7"/>
        <v>SEVROLL Fiesta 18 úchytová lišta 2,7 oliva</v>
      </c>
      <c r="C225" s="209" t="e">
        <f t="shared" si="8"/>
        <v>#N/A</v>
      </c>
      <c r="D225" s="542" t="s">
        <v>3768</v>
      </c>
      <c r="E225" s="542" t="s">
        <v>1820</v>
      </c>
      <c r="F225" s="542" t="s">
        <v>3769</v>
      </c>
      <c r="G225" s="542" t="s">
        <v>1821</v>
      </c>
      <c r="H225" s="426">
        <v>1E-3</v>
      </c>
      <c r="I225" s="425" t="e">
        <v>#N/A</v>
      </c>
      <c r="J225" s="425">
        <v>1E-3</v>
      </c>
      <c r="K225" s="425">
        <v>1E-3</v>
      </c>
      <c r="L225" s="542" t="s">
        <v>7984</v>
      </c>
      <c r="M225" s="423" t="s">
        <v>699</v>
      </c>
      <c r="N225" s="206">
        <v>217.5489</v>
      </c>
      <c r="O225" s="546"/>
      <c r="R225" s="206"/>
    </row>
    <row r="226" spans="1:18" ht="15">
      <c r="A226" s="424">
        <v>349811</v>
      </c>
      <c r="B226" t="str">
        <f t="shared" si="7"/>
        <v/>
      </c>
      <c r="C226" s="209">
        <f t="shared" si="8"/>
        <v>13.89648</v>
      </c>
      <c r="D226" s="542" t="s">
        <v>3901</v>
      </c>
      <c r="E226" s="542" t="s">
        <v>1610</v>
      </c>
      <c r="F226" s="542" t="s">
        <v>84</v>
      </c>
      <c r="G226" s="542" t="s">
        <v>84</v>
      </c>
      <c r="H226" s="426">
        <v>304.74360000000001</v>
      </c>
      <c r="I226" s="425">
        <v>13.89648</v>
      </c>
      <c r="J226" s="425">
        <v>47.54</v>
      </c>
      <c r="K226" s="425">
        <v>3273.7955900000002</v>
      </c>
      <c r="L226" s="542" t="s">
        <v>622</v>
      </c>
      <c r="M226" s="423" t="s">
        <v>699</v>
      </c>
      <c r="N226" s="206">
        <v>217.67400000000001</v>
      </c>
      <c r="O226" s="546"/>
      <c r="R226" s="206"/>
    </row>
    <row r="227" spans="1:18" ht="15">
      <c r="A227" s="424">
        <v>308690</v>
      </c>
      <c r="B227" t="str">
        <f t="shared" si="7"/>
        <v>SEVROLL Polo úchytová lišta 10mm 2,5m strie</v>
      </c>
      <c r="C227" s="209">
        <f t="shared" si="8"/>
        <v>10.68122</v>
      </c>
      <c r="D227" s="542" t="s">
        <v>3396</v>
      </c>
      <c r="E227" s="542" t="s">
        <v>2308</v>
      </c>
      <c r="F227" s="542" t="s">
        <v>3397</v>
      </c>
      <c r="G227" s="542" t="s">
        <v>2309</v>
      </c>
      <c r="H227" s="426">
        <v>370.79640000000001</v>
      </c>
      <c r="I227" s="425">
        <v>10.68122</v>
      </c>
      <c r="J227" s="425">
        <v>41.55</v>
      </c>
      <c r="K227" s="425">
        <v>3983.3867399999999</v>
      </c>
      <c r="L227" s="542" t="s">
        <v>622</v>
      </c>
      <c r="M227" s="423" t="s">
        <v>699</v>
      </c>
      <c r="N227" s="206">
        <v>217.67400000000001</v>
      </c>
      <c r="O227" s="546"/>
      <c r="R227" s="206"/>
    </row>
    <row r="228" spans="1:18" ht="15">
      <c r="A228" s="424">
        <v>308684</v>
      </c>
      <c r="B228" t="str">
        <f t="shared" si="7"/>
        <v>SEVROLL Libra úchytová lišta 18mm 2,5m stri</v>
      </c>
      <c r="C228" s="209" t="e">
        <f t="shared" si="8"/>
        <v>#N/A</v>
      </c>
      <c r="D228" s="542" t="s">
        <v>3546</v>
      </c>
      <c r="E228" s="542" t="s">
        <v>2067</v>
      </c>
      <c r="F228" s="542" t="s">
        <v>3547</v>
      </c>
      <c r="G228" s="542" t="s">
        <v>2068</v>
      </c>
      <c r="H228" s="426">
        <v>1E-3</v>
      </c>
      <c r="I228" s="425" t="e">
        <v>#N/A</v>
      </c>
      <c r="J228" s="425">
        <v>1E-3</v>
      </c>
      <c r="K228" s="425">
        <v>1E-3</v>
      </c>
      <c r="L228" s="542" t="s">
        <v>7984</v>
      </c>
      <c r="M228" s="423" t="s">
        <v>699</v>
      </c>
      <c r="N228" s="206">
        <v>218.4246</v>
      </c>
      <c r="O228" s="546"/>
      <c r="R228" s="206"/>
    </row>
    <row r="229" spans="1:18" ht="15">
      <c r="A229" s="424">
        <v>224127</v>
      </c>
      <c r="B229" t="str">
        <f t="shared" si="7"/>
        <v>SEVROLL spodné vedenie Simple 2,5m oliva</v>
      </c>
      <c r="C229" s="209">
        <f t="shared" si="8"/>
        <v>13.02454</v>
      </c>
      <c r="D229" s="542" t="s">
        <v>3336</v>
      </c>
      <c r="E229" s="542" t="s">
        <v>2397</v>
      </c>
      <c r="F229" s="542" t="s">
        <v>3337</v>
      </c>
      <c r="G229" s="542" t="s">
        <v>2398</v>
      </c>
      <c r="H229" s="426">
        <v>288.98099999999999</v>
      </c>
      <c r="I229" s="425">
        <v>13.02454</v>
      </c>
      <c r="J229" s="425">
        <v>35.86</v>
      </c>
      <c r="K229" s="425">
        <v>3104.4613300000001</v>
      </c>
      <c r="L229" s="542" t="s">
        <v>622</v>
      </c>
      <c r="M229" s="423" t="s">
        <v>699</v>
      </c>
      <c r="N229" s="206">
        <v>219.92580000000001</v>
      </c>
      <c r="O229" s="546"/>
      <c r="R229" s="206"/>
    </row>
    <row r="230" spans="1:18" ht="15">
      <c r="A230" s="424">
        <v>89188</v>
      </c>
      <c r="B230" t="str">
        <f t="shared" si="7"/>
        <v>SEVROLL spojovaciá lišta "T" 3m strieborná</v>
      </c>
      <c r="C230" s="209">
        <f t="shared" si="8"/>
        <v>10.629860000000001</v>
      </c>
      <c r="D230" s="542" t="s">
        <v>4219</v>
      </c>
      <c r="E230" s="542" t="s">
        <v>263</v>
      </c>
      <c r="F230" s="542" t="s">
        <v>4220</v>
      </c>
      <c r="G230" s="542" t="s">
        <v>2491</v>
      </c>
      <c r="H230" s="426">
        <v>306.0224</v>
      </c>
      <c r="I230" s="425">
        <v>10.629860000000001</v>
      </c>
      <c r="J230" s="425">
        <v>36.159999999999997</v>
      </c>
      <c r="K230" s="425">
        <v>3467.32044</v>
      </c>
      <c r="L230" s="542" t="s">
        <v>621</v>
      </c>
      <c r="M230" s="423" t="s">
        <v>699</v>
      </c>
      <c r="N230" s="206">
        <v>220.81540000000001</v>
      </c>
      <c r="O230" s="546"/>
      <c r="R230" s="206"/>
    </row>
    <row r="231" spans="1:18" ht="15">
      <c r="A231" s="424">
        <v>135503</v>
      </c>
      <c r="B231" t="str">
        <f t="shared" si="7"/>
        <v>SEVROLL- FACTOR 18 II-UCH.LIŠTA OLI 2,7m</v>
      </c>
      <c r="C231" s="209">
        <f t="shared" si="8"/>
        <v>11.702489999999999</v>
      </c>
      <c r="D231" s="542" t="s">
        <v>4601</v>
      </c>
      <c r="E231" s="542" t="s">
        <v>1799</v>
      </c>
      <c r="F231" s="542" t="s">
        <v>632</v>
      </c>
      <c r="G231" s="542" t="s">
        <v>1800</v>
      </c>
      <c r="H231" s="426">
        <v>336.98048</v>
      </c>
      <c r="I231" s="425">
        <v>11.702489999999999</v>
      </c>
      <c r="J231" s="425">
        <v>81.86</v>
      </c>
      <c r="K231" s="425">
        <v>3818.0842600000001</v>
      </c>
      <c r="L231" s="542" t="s">
        <v>621</v>
      </c>
      <c r="M231" s="423" t="s">
        <v>699</v>
      </c>
      <c r="N231" s="206">
        <v>223.10194999999999</v>
      </c>
      <c r="O231" s="546"/>
      <c r="R231" s="206"/>
    </row>
    <row r="232" spans="1:18" ht="15">
      <c r="A232" s="424">
        <v>224019</v>
      </c>
      <c r="B232" t="str">
        <f t="shared" si="7"/>
        <v>SEVROLL Simple spodné vedenie 3m strieborné</v>
      </c>
      <c r="C232" s="209">
        <f t="shared" si="8"/>
        <v>13.70574</v>
      </c>
      <c r="D232" s="542" t="s">
        <v>3047</v>
      </c>
      <c r="E232" s="542" t="s">
        <v>2407</v>
      </c>
      <c r="F232" s="542" t="s">
        <v>3048</v>
      </c>
      <c r="G232" s="542" t="s">
        <v>2408</v>
      </c>
      <c r="H232" s="426">
        <v>303.99299999999999</v>
      </c>
      <c r="I232" s="425">
        <v>13.70574</v>
      </c>
      <c r="J232" s="425">
        <v>37.450000000000003</v>
      </c>
      <c r="K232" s="425">
        <v>3265.7320500000001</v>
      </c>
      <c r="L232" s="542" t="s">
        <v>622</v>
      </c>
      <c r="M232" s="423" t="s">
        <v>699</v>
      </c>
      <c r="N232" s="206">
        <v>224.42939999999999</v>
      </c>
      <c r="O232" s="546"/>
      <c r="R232" s="206"/>
    </row>
    <row r="233" spans="1:18" ht="15">
      <c r="A233" s="424">
        <v>180326</v>
      </c>
      <c r="B233" t="str">
        <f t="shared" ref="B233:B296" si="9">IF($A$2=1,D233,IF($A$2=2,F233,IF($A$2=3,G233,IF($A$2=4,E233,"zadat jazyk"))))</f>
        <v>SEVROLL-MAXIM II MASKA 3,5 M strieborná</v>
      </c>
      <c r="C233" s="209">
        <f t="shared" si="8"/>
        <v>10.8468</v>
      </c>
      <c r="D233" s="542" t="s">
        <v>4385</v>
      </c>
      <c r="E233" s="542" t="s">
        <v>910</v>
      </c>
      <c r="F233" s="542" t="s">
        <v>4386</v>
      </c>
      <c r="G233" s="542" t="s">
        <v>2177</v>
      </c>
      <c r="H233" s="426">
        <v>312.42752000000002</v>
      </c>
      <c r="I233" s="425">
        <v>10.8468</v>
      </c>
      <c r="J233" s="425">
        <v>36.92</v>
      </c>
      <c r="K233" s="425">
        <v>3539.8922600000001</v>
      </c>
      <c r="L233" s="542" t="s">
        <v>621</v>
      </c>
      <c r="M233" s="423" t="s">
        <v>699</v>
      </c>
      <c r="N233" s="206">
        <v>225.38849999999999</v>
      </c>
      <c r="O233" s="546"/>
      <c r="R233" s="206"/>
    </row>
    <row r="234" spans="1:18" ht="15">
      <c r="A234" s="424">
        <v>260076</v>
      </c>
      <c r="B234" t="str">
        <f t="shared" si="9"/>
        <v>SEVROLL úhelné vedeniem strie</v>
      </c>
      <c r="C234" s="209">
        <f t="shared" si="8"/>
        <v>10.91911</v>
      </c>
      <c r="D234" s="542" t="s">
        <v>3212</v>
      </c>
      <c r="E234" s="542" t="s">
        <v>1430</v>
      </c>
      <c r="F234" s="542" t="s">
        <v>3213</v>
      </c>
      <c r="G234" s="542" t="s">
        <v>2605</v>
      </c>
      <c r="H234" s="426">
        <v>314.56256000000002</v>
      </c>
      <c r="I234" s="425">
        <v>10.91911</v>
      </c>
      <c r="J234" s="425">
        <v>37.17</v>
      </c>
      <c r="K234" s="425">
        <v>3564.0828700000002</v>
      </c>
      <c r="L234" s="542" t="s">
        <v>622</v>
      </c>
      <c r="M234" s="423" t="s">
        <v>699</v>
      </c>
      <c r="N234" s="206">
        <v>227.3484</v>
      </c>
      <c r="O234" s="546"/>
      <c r="R234" s="206"/>
    </row>
    <row r="235" spans="1:18" ht="15">
      <c r="A235" s="424">
        <v>270113</v>
      </c>
      <c r="B235" t="str">
        <f t="shared" si="9"/>
        <v>SEVROLL uholník 22x22mm 3m stieb</v>
      </c>
      <c r="C235" s="209">
        <f t="shared" si="8"/>
        <v>11.49761</v>
      </c>
      <c r="D235" s="542" t="s">
        <v>3208</v>
      </c>
      <c r="E235" s="542" t="s">
        <v>1433</v>
      </c>
      <c r="F235" s="542" t="s">
        <v>3209</v>
      </c>
      <c r="G235" s="542" t="s">
        <v>2610</v>
      </c>
      <c r="H235" s="426">
        <v>330.93119999999999</v>
      </c>
      <c r="I235" s="425">
        <v>11.49761</v>
      </c>
      <c r="J235" s="425">
        <v>39.11</v>
      </c>
      <c r="K235" s="425">
        <v>3749.5441999999998</v>
      </c>
      <c r="L235" s="542" t="s">
        <v>622</v>
      </c>
      <c r="M235" s="423" t="s">
        <v>699</v>
      </c>
      <c r="N235" s="206">
        <v>228.0017</v>
      </c>
      <c r="O235" s="546"/>
      <c r="R235" s="206"/>
    </row>
    <row r="236" spans="1:18" ht="15">
      <c r="A236" s="424">
        <v>284599</v>
      </c>
      <c r="B236" t="str">
        <f t="shared" si="9"/>
        <v>SEVROLL Uno úch.lišta 18mm 2,70m stieb</v>
      </c>
      <c r="C236" s="209">
        <f t="shared" si="8"/>
        <v>13.81474</v>
      </c>
      <c r="D236" s="542" t="s">
        <v>3183</v>
      </c>
      <c r="E236" s="542" t="s">
        <v>2651</v>
      </c>
      <c r="F236" s="542" t="s">
        <v>3184</v>
      </c>
      <c r="G236" s="542" t="s">
        <v>2652</v>
      </c>
      <c r="H236" s="426">
        <v>319.75560000000002</v>
      </c>
      <c r="I236" s="425">
        <v>13.81474</v>
      </c>
      <c r="J236" s="425">
        <v>38.799999999999997</v>
      </c>
      <c r="K236" s="425">
        <v>3435.0663100000002</v>
      </c>
      <c r="L236" s="542" t="s">
        <v>622</v>
      </c>
      <c r="M236" s="423" t="s">
        <v>699</v>
      </c>
      <c r="N236" s="206">
        <v>230.4342</v>
      </c>
      <c r="O236" s="546"/>
      <c r="R236" s="206"/>
    </row>
    <row r="237" spans="1:18" ht="15">
      <c r="A237" s="424">
        <v>144243</v>
      </c>
      <c r="B237" t="str">
        <f t="shared" si="9"/>
        <v>SEVROLL fólia 200-1317 (111766) 14,7m/4cm</v>
      </c>
      <c r="C237" s="209" t="e">
        <f t="shared" si="8"/>
        <v>#N/A</v>
      </c>
      <c r="D237" s="542" t="s">
        <v>3747</v>
      </c>
      <c r="E237" s="542" t="s">
        <v>1015</v>
      </c>
      <c r="F237" s="542" t="s">
        <v>3748</v>
      </c>
      <c r="G237" s="542" t="s">
        <v>1851</v>
      </c>
      <c r="H237" s="426">
        <v>0</v>
      </c>
      <c r="I237" s="425" t="e">
        <v>#N/A</v>
      </c>
      <c r="J237" s="425">
        <v>0</v>
      </c>
      <c r="K237" s="425">
        <v>0</v>
      </c>
      <c r="L237" s="542" t="s">
        <v>622</v>
      </c>
      <c r="M237" s="423" t="s">
        <v>699</v>
      </c>
      <c r="N237" s="206">
        <v>231.26820000000001</v>
      </c>
      <c r="O237" s="546"/>
      <c r="R237" s="206"/>
    </row>
    <row r="238" spans="1:18" ht="15">
      <c r="A238" s="424">
        <v>98033</v>
      </c>
      <c r="B238" t="str">
        <f t="shared" si="9"/>
        <v>SEV-fólia 200-1317 (111865) 14,7m/4cm</v>
      </c>
      <c r="C238" s="209" t="e">
        <f t="shared" si="8"/>
        <v>#N/A</v>
      </c>
      <c r="D238" s="542" t="s">
        <v>852</v>
      </c>
      <c r="E238" s="542" t="s">
        <v>853</v>
      </c>
      <c r="F238" s="542" t="s">
        <v>853</v>
      </c>
      <c r="G238" s="542" t="s">
        <v>1851</v>
      </c>
      <c r="H238" s="426">
        <v>0</v>
      </c>
      <c r="I238" s="425" t="e">
        <v>#N/A</v>
      </c>
      <c r="J238" s="425">
        <v>0</v>
      </c>
      <c r="K238" s="425">
        <v>0</v>
      </c>
      <c r="L238" s="542" t="s">
        <v>622</v>
      </c>
      <c r="M238" s="423" t="s">
        <v>699</v>
      </c>
      <c r="N238" s="206">
        <v>231.26820000000001</v>
      </c>
      <c r="O238" s="546"/>
      <c r="R238" s="206"/>
    </row>
    <row r="239" spans="1:18" ht="15">
      <c r="A239" s="424">
        <v>89191</v>
      </c>
      <c r="B239" t="str">
        <f t="shared" si="9"/>
        <v>SEVROLL fólia 200-1682 (111056) 14,7m/4cm</v>
      </c>
      <c r="C239" s="209" t="e">
        <f t="shared" si="8"/>
        <v>#N/A</v>
      </c>
      <c r="D239" s="542" t="s">
        <v>3976</v>
      </c>
      <c r="E239" s="542" t="s">
        <v>851</v>
      </c>
      <c r="F239" s="542" t="s">
        <v>3977</v>
      </c>
      <c r="G239" s="542" t="s">
        <v>1852</v>
      </c>
      <c r="H239" s="426">
        <v>303.10399999999998</v>
      </c>
      <c r="I239" s="425" t="e">
        <v>#N/A</v>
      </c>
      <c r="J239" s="425">
        <v>38.466450000000002</v>
      </c>
      <c r="K239" s="425">
        <v>3434.2541500000002</v>
      </c>
      <c r="L239" s="542" t="s">
        <v>620</v>
      </c>
      <c r="M239" s="423" t="s">
        <v>699</v>
      </c>
      <c r="N239" s="206">
        <v>231.26820000000001</v>
      </c>
      <c r="O239" s="546"/>
      <c r="R239" s="206"/>
    </row>
    <row r="240" spans="1:18" ht="15">
      <c r="A240" s="424">
        <v>89064</v>
      </c>
      <c r="B240" t="str">
        <f t="shared" si="9"/>
        <v>SEVROLL fólia 200-1700 (111230) 14,7m/4cm</v>
      </c>
      <c r="C240" s="209" t="e">
        <f t="shared" si="8"/>
        <v>#N/A</v>
      </c>
      <c r="D240" s="542" t="s">
        <v>3743</v>
      </c>
      <c r="E240" s="542" t="s">
        <v>1013</v>
      </c>
      <c r="F240" s="542" t="s">
        <v>3744</v>
      </c>
      <c r="G240" s="542" t="s">
        <v>1854</v>
      </c>
      <c r="H240" s="426">
        <v>0</v>
      </c>
      <c r="I240" s="425" t="e">
        <v>#N/A</v>
      </c>
      <c r="J240" s="425">
        <v>0</v>
      </c>
      <c r="K240" s="425">
        <v>0</v>
      </c>
      <c r="L240" s="542" t="s">
        <v>622</v>
      </c>
      <c r="M240" s="423" t="s">
        <v>699</v>
      </c>
      <c r="N240" s="206">
        <v>231.26820000000001</v>
      </c>
      <c r="O240" s="546"/>
      <c r="R240" s="206"/>
    </row>
    <row r="241" spans="1:18" ht="15">
      <c r="A241" s="424">
        <v>213258</v>
      </c>
      <c r="B241" t="str">
        <f t="shared" si="9"/>
        <v>SEVROLL fólia 200-1844 14,7m/4cm</v>
      </c>
      <c r="C241" s="209" t="e">
        <f t="shared" si="8"/>
        <v>#N/A</v>
      </c>
      <c r="D241" s="542" t="s">
        <v>3741</v>
      </c>
      <c r="E241" s="542" t="s">
        <v>932</v>
      </c>
      <c r="F241" s="542" t="s">
        <v>3742</v>
      </c>
      <c r="G241" s="542" t="s">
        <v>1855</v>
      </c>
      <c r="H241" s="426">
        <v>0</v>
      </c>
      <c r="I241" s="425" t="e">
        <v>#N/A</v>
      </c>
      <c r="J241" s="425">
        <v>0</v>
      </c>
      <c r="K241" s="425">
        <v>0</v>
      </c>
      <c r="L241" s="542" t="s">
        <v>622</v>
      </c>
      <c r="M241" s="423" t="s">
        <v>699</v>
      </c>
      <c r="N241" s="206">
        <v>231.26820000000001</v>
      </c>
      <c r="O241" s="546"/>
      <c r="R241" s="206"/>
    </row>
    <row r="242" spans="1:18" ht="15">
      <c r="A242" s="424">
        <v>98038</v>
      </c>
      <c r="B242" t="str">
        <f t="shared" si="9"/>
        <v>SEVROLL fólia 200-2163 (111025) 14,7m/4cm</v>
      </c>
      <c r="C242" s="209" t="e">
        <f t="shared" si="8"/>
        <v>#N/A</v>
      </c>
      <c r="D242" s="542" t="s">
        <v>3974</v>
      </c>
      <c r="E242" s="542" t="s">
        <v>834</v>
      </c>
      <c r="F242" s="542" t="s">
        <v>3975</v>
      </c>
      <c r="G242" s="542" t="s">
        <v>1856</v>
      </c>
      <c r="H242" s="426">
        <v>0</v>
      </c>
      <c r="I242" s="425" t="e">
        <v>#N/A</v>
      </c>
      <c r="J242" s="425">
        <v>0</v>
      </c>
      <c r="K242" s="425">
        <v>0</v>
      </c>
      <c r="L242" s="542" t="s">
        <v>620</v>
      </c>
      <c r="M242" s="423" t="s">
        <v>699</v>
      </c>
      <c r="N242" s="206">
        <v>231.26820000000001</v>
      </c>
      <c r="O242" s="546"/>
      <c r="R242" s="206"/>
    </row>
    <row r="243" spans="1:18" ht="15">
      <c r="A243" s="424">
        <v>89048</v>
      </c>
      <c r="B243" t="str">
        <f t="shared" si="9"/>
        <v>SEVROLL fólia 200-2227 (111339) 14,7m/4cm</v>
      </c>
      <c r="C243" s="209" t="e">
        <f t="shared" si="8"/>
        <v>#N/A</v>
      </c>
      <c r="D243" s="542" t="s">
        <v>3739</v>
      </c>
      <c r="E243" s="542" t="s">
        <v>880</v>
      </c>
      <c r="F243" s="542" t="s">
        <v>3740</v>
      </c>
      <c r="G243" s="542" t="s">
        <v>1857</v>
      </c>
      <c r="H243" s="426">
        <v>0</v>
      </c>
      <c r="I243" s="425" t="e">
        <v>#N/A</v>
      </c>
      <c r="J243" s="425">
        <v>0</v>
      </c>
      <c r="K243" s="425">
        <v>0</v>
      </c>
      <c r="L243" s="542" t="s">
        <v>622</v>
      </c>
      <c r="M243" s="423" t="s">
        <v>699</v>
      </c>
      <c r="N243" s="206">
        <v>231.26820000000001</v>
      </c>
      <c r="O243" s="546"/>
      <c r="R243" s="206"/>
    </row>
    <row r="244" spans="1:18" ht="15">
      <c r="A244" s="424">
        <v>89263</v>
      </c>
      <c r="B244" t="str">
        <f t="shared" si="9"/>
        <v>SEVROLL fólia 200-2227 (111780) 14,7m/4cm</v>
      </c>
      <c r="C244" s="209" t="e">
        <f t="shared" si="8"/>
        <v>#N/A</v>
      </c>
      <c r="D244" s="542" t="s">
        <v>3737</v>
      </c>
      <c r="E244" s="542" t="s">
        <v>896</v>
      </c>
      <c r="F244" s="542" t="s">
        <v>3738</v>
      </c>
      <c r="G244" s="542" t="s">
        <v>897</v>
      </c>
      <c r="H244" s="426">
        <v>0</v>
      </c>
      <c r="I244" s="425" t="e">
        <v>#N/A</v>
      </c>
      <c r="J244" s="425">
        <v>0</v>
      </c>
      <c r="K244" s="425">
        <v>0</v>
      </c>
      <c r="L244" s="542" t="s">
        <v>622</v>
      </c>
      <c r="M244" s="423" t="s">
        <v>699</v>
      </c>
      <c r="N244" s="206">
        <v>231.26820000000001</v>
      </c>
      <c r="O244" s="546"/>
      <c r="R244" s="206"/>
    </row>
    <row r="245" spans="1:18" ht="15">
      <c r="A245" s="424">
        <v>213934</v>
      </c>
      <c r="B245" t="str">
        <f t="shared" si="9"/>
        <v>SEVROLL fólia 200-2230 14,7m/4cm</v>
      </c>
      <c r="C245" s="209" t="e">
        <f t="shared" si="8"/>
        <v>#N/A</v>
      </c>
      <c r="D245" s="542" t="s">
        <v>3735</v>
      </c>
      <c r="E245" s="542" t="s">
        <v>934</v>
      </c>
      <c r="F245" s="542" t="s">
        <v>3736</v>
      </c>
      <c r="G245" s="542" t="s">
        <v>1858</v>
      </c>
      <c r="H245" s="426">
        <v>1E-3</v>
      </c>
      <c r="I245" s="425" t="e">
        <v>#N/A</v>
      </c>
      <c r="J245" s="425">
        <v>1E-3</v>
      </c>
      <c r="K245" s="425">
        <v>1E-3</v>
      </c>
      <c r="L245" s="542" t="s">
        <v>7984</v>
      </c>
      <c r="M245" s="423" t="s">
        <v>699</v>
      </c>
      <c r="N245" s="206">
        <v>231.26820000000001</v>
      </c>
      <c r="O245" s="546"/>
      <c r="R245" s="206"/>
    </row>
    <row r="246" spans="1:18" ht="15">
      <c r="A246" s="424">
        <v>179398</v>
      </c>
      <c r="B246" t="str">
        <f t="shared" si="9"/>
        <v>SEVROLL fólia 200-2234 (112428) 14,7m/4cm</v>
      </c>
      <c r="C246" s="209" t="e">
        <f t="shared" si="8"/>
        <v>#N/A</v>
      </c>
      <c r="D246" s="542" t="s">
        <v>3733</v>
      </c>
      <c r="E246" s="542" t="s">
        <v>1019</v>
      </c>
      <c r="F246" s="542" t="s">
        <v>3734</v>
      </c>
      <c r="G246" s="542" t="s">
        <v>1860</v>
      </c>
      <c r="H246" s="426">
        <v>0</v>
      </c>
      <c r="I246" s="425" t="e">
        <v>#N/A</v>
      </c>
      <c r="J246" s="425">
        <v>0</v>
      </c>
      <c r="K246" s="425">
        <v>0</v>
      </c>
      <c r="L246" s="542" t="s">
        <v>622</v>
      </c>
      <c r="M246" s="423" t="s">
        <v>699</v>
      </c>
      <c r="N246" s="206">
        <v>231.26820000000001</v>
      </c>
      <c r="O246" s="546"/>
      <c r="R246" s="206"/>
    </row>
    <row r="247" spans="1:18" ht="15">
      <c r="A247" s="424">
        <v>89041</v>
      </c>
      <c r="B247" t="str">
        <f t="shared" si="9"/>
        <v>SEV-fólia 200-2236 (112183) 14,7m/4cm</v>
      </c>
      <c r="C247" s="209" t="e">
        <f t="shared" si="8"/>
        <v>#N/A</v>
      </c>
      <c r="D247" s="542" t="s">
        <v>869</v>
      </c>
      <c r="E247" s="542" t="s">
        <v>870</v>
      </c>
      <c r="F247" s="542" t="s">
        <v>870</v>
      </c>
      <c r="G247" s="542" t="s">
        <v>871</v>
      </c>
      <c r="H247" s="426">
        <v>226.56</v>
      </c>
      <c r="I247" s="425" t="e">
        <v>#N/A</v>
      </c>
      <c r="J247" s="425">
        <v>28.752359999999999</v>
      </c>
      <c r="K247" s="425">
        <v>2566.9889499999999</v>
      </c>
      <c r="L247" s="542" t="s">
        <v>620</v>
      </c>
      <c r="M247" s="423" t="s">
        <v>699</v>
      </c>
      <c r="N247" s="206">
        <v>231.26820000000001</v>
      </c>
      <c r="O247" s="546"/>
      <c r="R247" s="206"/>
    </row>
    <row r="248" spans="1:18" ht="15">
      <c r="A248" s="424">
        <v>144245</v>
      </c>
      <c r="B248" t="str">
        <f t="shared" si="9"/>
        <v>SEVROLL fólia 200-2608 (112269) 14,7m/4cm</v>
      </c>
      <c r="C248" s="209" t="e">
        <f t="shared" si="8"/>
        <v>#N/A</v>
      </c>
      <c r="D248" s="542" t="s">
        <v>3729</v>
      </c>
      <c r="E248" s="542" t="s">
        <v>1016</v>
      </c>
      <c r="F248" s="542" t="s">
        <v>3730</v>
      </c>
      <c r="G248" s="542" t="s">
        <v>904</v>
      </c>
      <c r="H248" s="426">
        <v>0</v>
      </c>
      <c r="I248" s="425" t="e">
        <v>#N/A</v>
      </c>
      <c r="J248" s="425">
        <v>0</v>
      </c>
      <c r="K248" s="425">
        <v>0</v>
      </c>
      <c r="L248" s="542" t="s">
        <v>622</v>
      </c>
      <c r="M248" s="423" t="s">
        <v>699</v>
      </c>
      <c r="N248" s="206">
        <v>231.26820000000001</v>
      </c>
      <c r="O248" s="546"/>
      <c r="R248" s="206"/>
    </row>
    <row r="249" spans="1:18" ht="15">
      <c r="A249" s="424">
        <v>211772</v>
      </c>
      <c r="B249" t="str">
        <f t="shared" si="9"/>
        <v>SEVROLL fólia 200-2660 14,7m/4cm</v>
      </c>
      <c r="C249" s="209" t="e">
        <f t="shared" si="8"/>
        <v>#N/A</v>
      </c>
      <c r="D249" s="542" t="s">
        <v>3727</v>
      </c>
      <c r="E249" s="542" t="s">
        <v>924</v>
      </c>
      <c r="F249" s="542" t="s">
        <v>3728</v>
      </c>
      <c r="G249" s="542" t="s">
        <v>1861</v>
      </c>
      <c r="H249" s="426">
        <v>0</v>
      </c>
      <c r="I249" s="425" t="e">
        <v>#N/A</v>
      </c>
      <c r="J249" s="425">
        <v>0</v>
      </c>
      <c r="K249" s="425">
        <v>0</v>
      </c>
      <c r="L249" s="542" t="s">
        <v>622</v>
      </c>
      <c r="M249" s="423" t="s">
        <v>699</v>
      </c>
      <c r="N249" s="206">
        <v>231.26820000000001</v>
      </c>
      <c r="O249" s="546"/>
      <c r="R249" s="206"/>
    </row>
    <row r="250" spans="1:18" ht="15">
      <c r="A250" s="424">
        <v>165482</v>
      </c>
      <c r="B250" t="str">
        <f t="shared" si="9"/>
        <v>SEV-fólia 200-2816  14,7m/4cm</v>
      </c>
      <c r="C250" s="209" t="e">
        <f t="shared" si="8"/>
        <v>#N/A</v>
      </c>
      <c r="D250" s="542" t="s">
        <v>908</v>
      </c>
      <c r="E250" s="542" t="s">
        <v>909</v>
      </c>
      <c r="F250" s="542" t="s">
        <v>909</v>
      </c>
      <c r="G250" s="542" t="s">
        <v>1862</v>
      </c>
      <c r="H250" s="426">
        <v>0</v>
      </c>
      <c r="I250" s="425" t="e">
        <v>#N/A</v>
      </c>
      <c r="J250" s="425">
        <v>0</v>
      </c>
      <c r="K250" s="425">
        <v>0</v>
      </c>
      <c r="L250" s="542" t="s">
        <v>622</v>
      </c>
      <c r="M250" s="423" t="s">
        <v>699</v>
      </c>
      <c r="N250" s="206">
        <v>231.26820000000001</v>
      </c>
      <c r="O250" s="546"/>
      <c r="R250" s="206"/>
    </row>
    <row r="251" spans="1:18" ht="15">
      <c r="A251" s="424">
        <v>215724</v>
      </c>
      <c r="B251" t="str">
        <f t="shared" si="9"/>
        <v>SEVROLL fólia 200-2875, 14,7m/4cm</v>
      </c>
      <c r="C251" s="209" t="e">
        <f t="shared" si="8"/>
        <v>#N/A</v>
      </c>
      <c r="D251" s="542" t="s">
        <v>3725</v>
      </c>
      <c r="E251" s="542" t="s">
        <v>936</v>
      </c>
      <c r="F251" s="542" t="s">
        <v>3726</v>
      </c>
      <c r="G251" s="542" t="s">
        <v>1863</v>
      </c>
      <c r="H251" s="426">
        <v>0</v>
      </c>
      <c r="I251" s="425" t="e">
        <v>#N/A</v>
      </c>
      <c r="J251" s="425">
        <v>0</v>
      </c>
      <c r="K251" s="425">
        <v>0</v>
      </c>
      <c r="L251" s="542" t="s">
        <v>622</v>
      </c>
      <c r="M251" s="423" t="s">
        <v>699</v>
      </c>
      <c r="N251" s="206">
        <v>231.26820000000001</v>
      </c>
      <c r="O251" s="546"/>
      <c r="R251" s="206"/>
    </row>
    <row r="252" spans="1:18" ht="15">
      <c r="A252" s="424">
        <v>251630</v>
      </c>
      <c r="B252" t="str">
        <f t="shared" si="9"/>
        <v>SEVROLL fólia 200-2905, 14,7m/4cm</v>
      </c>
      <c r="C252" s="209" t="e">
        <f t="shared" si="8"/>
        <v>#N/A</v>
      </c>
      <c r="D252" s="542" t="s">
        <v>3723</v>
      </c>
      <c r="E252" s="542" t="s">
        <v>1425</v>
      </c>
      <c r="F252" s="542" t="s">
        <v>3724</v>
      </c>
      <c r="G252" s="542" t="s">
        <v>1864</v>
      </c>
      <c r="H252" s="426">
        <v>0</v>
      </c>
      <c r="I252" s="425" t="e">
        <v>#N/A</v>
      </c>
      <c r="J252" s="425">
        <v>0</v>
      </c>
      <c r="K252" s="425">
        <v>0</v>
      </c>
      <c r="L252" s="542" t="s">
        <v>622</v>
      </c>
      <c r="M252" s="423" t="s">
        <v>699</v>
      </c>
      <c r="N252" s="206">
        <v>231.26820000000001</v>
      </c>
      <c r="O252" s="546"/>
      <c r="R252" s="206"/>
    </row>
    <row r="253" spans="1:18" ht="15">
      <c r="A253" s="424">
        <v>144246</v>
      </c>
      <c r="B253" t="str">
        <f t="shared" si="9"/>
        <v>SEVROLL fólia 200-2986 14,7m/4cm</v>
      </c>
      <c r="C253" s="209" t="e">
        <f t="shared" si="8"/>
        <v>#N/A</v>
      </c>
      <c r="D253" s="542" t="s">
        <v>3721</v>
      </c>
      <c r="E253" s="542" t="s">
        <v>1017</v>
      </c>
      <c r="F253" s="542" t="s">
        <v>3722</v>
      </c>
      <c r="G253" s="542" t="s">
        <v>1865</v>
      </c>
      <c r="H253" s="426">
        <v>0</v>
      </c>
      <c r="I253" s="425" t="e">
        <v>#N/A</v>
      </c>
      <c r="J253" s="425">
        <v>0</v>
      </c>
      <c r="K253" s="425">
        <v>0</v>
      </c>
      <c r="L253" s="542" t="s">
        <v>622</v>
      </c>
      <c r="M253" s="423" t="s">
        <v>699</v>
      </c>
      <c r="N253" s="206">
        <v>231.26820000000001</v>
      </c>
      <c r="O253" s="546"/>
      <c r="R253" s="206"/>
    </row>
    <row r="254" spans="1:18" ht="15">
      <c r="A254" s="424">
        <v>154208</v>
      </c>
      <c r="B254" t="str">
        <f t="shared" si="9"/>
        <v>SEVROLL fólia 200-2986 14,7m/4cm</v>
      </c>
      <c r="C254" s="209" t="e">
        <f t="shared" si="8"/>
        <v>#N/A</v>
      </c>
      <c r="D254" s="542" t="s">
        <v>3721</v>
      </c>
      <c r="E254" s="542" t="s">
        <v>905</v>
      </c>
      <c r="F254" s="542" t="s">
        <v>3722</v>
      </c>
      <c r="G254" s="542" t="s">
        <v>1865</v>
      </c>
      <c r="H254" s="426">
        <v>0</v>
      </c>
      <c r="I254" s="425" t="e">
        <v>#N/A</v>
      </c>
      <c r="J254" s="425">
        <v>0</v>
      </c>
      <c r="K254" s="425">
        <v>0</v>
      </c>
      <c r="L254" s="542" t="s">
        <v>622</v>
      </c>
      <c r="M254" s="423" t="s">
        <v>699</v>
      </c>
      <c r="N254" s="206">
        <v>231.26820000000001</v>
      </c>
      <c r="O254" s="546"/>
      <c r="R254" s="206"/>
    </row>
    <row r="255" spans="1:18" ht="15">
      <c r="A255" s="424">
        <v>359653</v>
      </c>
      <c r="B255" t="str">
        <f t="shared" si="9"/>
        <v/>
      </c>
      <c r="C255" s="209" t="e">
        <f t="shared" si="8"/>
        <v>#N/A</v>
      </c>
      <c r="D255" s="542" t="s">
        <v>3720</v>
      </c>
      <c r="E255" s="542" t="s">
        <v>1866</v>
      </c>
      <c r="F255" s="542" t="s">
        <v>84</v>
      </c>
      <c r="G255" s="542" t="s">
        <v>84</v>
      </c>
      <c r="H255" s="426">
        <v>1E-3</v>
      </c>
      <c r="I255" s="425" t="e">
        <v>#N/A</v>
      </c>
      <c r="J255" s="425">
        <v>1E-3</v>
      </c>
      <c r="K255" s="425">
        <v>1E-3</v>
      </c>
      <c r="L255" s="542" t="s">
        <v>7984</v>
      </c>
      <c r="M255" s="423" t="s">
        <v>699</v>
      </c>
      <c r="N255" s="206">
        <v>231.26820000000001</v>
      </c>
      <c r="O255" s="546"/>
      <c r="R255" s="206"/>
    </row>
    <row r="256" spans="1:18" ht="15">
      <c r="A256" s="424">
        <v>96406</v>
      </c>
      <c r="B256" t="str">
        <f t="shared" si="9"/>
        <v>SEVROLL fólia 200-3028 (112350) 14,7m/4cm</v>
      </c>
      <c r="C256" s="209" t="e">
        <f t="shared" si="8"/>
        <v>#N/A</v>
      </c>
      <c r="D256" s="542" t="s">
        <v>3718</v>
      </c>
      <c r="E256" s="542" t="s">
        <v>833</v>
      </c>
      <c r="F256" s="542" t="s">
        <v>3719</v>
      </c>
      <c r="G256" s="542" t="s">
        <v>110</v>
      </c>
      <c r="H256" s="426">
        <v>0</v>
      </c>
      <c r="I256" s="425" t="e">
        <v>#N/A</v>
      </c>
      <c r="J256" s="425">
        <v>0</v>
      </c>
      <c r="K256" s="425">
        <v>0</v>
      </c>
      <c r="L256" s="542" t="s">
        <v>622</v>
      </c>
      <c r="M256" s="423" t="s">
        <v>699</v>
      </c>
      <c r="N256" s="206">
        <v>231.26820000000001</v>
      </c>
      <c r="O256" s="546"/>
      <c r="R256" s="206"/>
    </row>
    <row r="257" spans="1:18" ht="15">
      <c r="A257" s="424">
        <v>95950</v>
      </c>
      <c r="B257" t="str">
        <f t="shared" si="9"/>
        <v>SEV-fólia 200-3109 (112312) 14,7m/4cm</v>
      </c>
      <c r="C257" s="209" t="e">
        <f t="shared" si="8"/>
        <v>#N/A</v>
      </c>
      <c r="D257" s="542" t="s">
        <v>877</v>
      </c>
      <c r="E257" s="542" t="s">
        <v>878</v>
      </c>
      <c r="F257" s="542" t="s">
        <v>878</v>
      </c>
      <c r="G257" s="542" t="s">
        <v>879</v>
      </c>
      <c r="H257" s="426">
        <v>1E-3</v>
      </c>
      <c r="I257" s="425" t="e">
        <v>#N/A</v>
      </c>
      <c r="J257" s="425">
        <v>1E-3</v>
      </c>
      <c r="K257" s="425">
        <v>1E-3</v>
      </c>
      <c r="L257" s="542" t="s">
        <v>7984</v>
      </c>
      <c r="M257" s="423" t="s">
        <v>699</v>
      </c>
      <c r="N257" s="206">
        <v>231.26820000000001</v>
      </c>
      <c r="O257" s="546"/>
      <c r="R257" s="206"/>
    </row>
    <row r="258" spans="1:18" ht="15">
      <c r="A258" s="424">
        <v>122950</v>
      </c>
      <c r="B258" t="str">
        <f t="shared" si="9"/>
        <v>SEV-fólia 200-3122 (112381) 14,7m/4cm</v>
      </c>
      <c r="C258" s="209" t="e">
        <f t="shared" si="8"/>
        <v>#N/A</v>
      </c>
      <c r="D258" s="542" t="s">
        <v>899</v>
      </c>
      <c r="E258" s="542" t="s">
        <v>1014</v>
      </c>
      <c r="F258" s="542" t="s">
        <v>1366</v>
      </c>
      <c r="G258" s="542" t="s">
        <v>1867</v>
      </c>
      <c r="H258" s="426">
        <v>1E-3</v>
      </c>
      <c r="I258" s="425" t="e">
        <v>#N/A</v>
      </c>
      <c r="J258" s="425">
        <v>1E-3</v>
      </c>
      <c r="K258" s="425">
        <v>1E-3</v>
      </c>
      <c r="L258" s="542" t="s">
        <v>7984</v>
      </c>
      <c r="M258" s="423" t="s">
        <v>699</v>
      </c>
      <c r="N258" s="206">
        <v>231.26820000000001</v>
      </c>
      <c r="O258" s="546"/>
      <c r="R258" s="206"/>
    </row>
    <row r="259" spans="1:18" ht="15">
      <c r="A259" s="424">
        <v>102834</v>
      </c>
      <c r="B259" t="str">
        <f t="shared" si="9"/>
        <v>SEVROLL-SPOJ.LIŠTA H18 2,5M str.</v>
      </c>
      <c r="C259" s="209">
        <f t="shared" ref="C259:C322" si="10">IF($A$2=1,H259,IF($A$2=2,I259,IF($A$2=3,J259,IF($A$2=4,K259,"zadat jazyk"))))</f>
        <v>11.111940000000001</v>
      </c>
      <c r="D259" s="542" t="s">
        <v>4364</v>
      </c>
      <c r="E259" s="542" t="s">
        <v>2217</v>
      </c>
      <c r="F259" s="542" t="s">
        <v>2219</v>
      </c>
      <c r="G259" s="542" t="s">
        <v>2218</v>
      </c>
      <c r="H259" s="426">
        <v>319.54432000000003</v>
      </c>
      <c r="I259" s="425">
        <v>11.111940000000001</v>
      </c>
      <c r="J259" s="425">
        <v>37.76</v>
      </c>
      <c r="K259" s="425">
        <v>3620.5276199999998</v>
      </c>
      <c r="L259" s="542" t="s">
        <v>621</v>
      </c>
      <c r="M259" s="423" t="s">
        <v>699</v>
      </c>
      <c r="N259" s="206">
        <v>231.26820000000001</v>
      </c>
      <c r="O259" s="546"/>
      <c r="R259" s="206"/>
    </row>
    <row r="260" spans="1:18" ht="15">
      <c r="A260" s="424">
        <v>89187</v>
      </c>
      <c r="B260" t="str">
        <f t="shared" si="9"/>
        <v>SEVROLL spojovaciá lišta "T" 3m oliva</v>
      </c>
      <c r="C260" s="209">
        <f t="shared" si="10"/>
        <v>11.08784</v>
      </c>
      <c r="D260" s="542" t="s">
        <v>4221</v>
      </c>
      <c r="E260" s="542" t="s">
        <v>262</v>
      </c>
      <c r="F260" s="542" t="s">
        <v>4222</v>
      </c>
      <c r="G260" s="542" t="s">
        <v>2490</v>
      </c>
      <c r="H260" s="426">
        <v>319.54432000000003</v>
      </c>
      <c r="I260" s="425">
        <v>11.08784</v>
      </c>
      <c r="J260" s="425">
        <v>38.29</v>
      </c>
      <c r="K260" s="425">
        <v>3620.5276199999998</v>
      </c>
      <c r="L260" s="542" t="s">
        <v>621</v>
      </c>
      <c r="M260" s="423" t="s">
        <v>699</v>
      </c>
      <c r="N260" s="206">
        <v>231.26820000000001</v>
      </c>
      <c r="O260" s="546"/>
      <c r="R260" s="206"/>
    </row>
    <row r="261" spans="1:18" ht="15">
      <c r="A261" s="424">
        <v>89015</v>
      </c>
      <c r="B261" t="str">
        <f t="shared" si="9"/>
        <v>SEVROLL spojovacia lišta T Decor 3m oliva</v>
      </c>
      <c r="C261" s="209">
        <f t="shared" si="10"/>
        <v>11.08784</v>
      </c>
      <c r="D261" s="542" t="s">
        <v>4187</v>
      </c>
      <c r="E261" s="542" t="s">
        <v>873</v>
      </c>
      <c r="F261" s="542" t="s">
        <v>4188</v>
      </c>
      <c r="G261" s="542" t="s">
        <v>2539</v>
      </c>
      <c r="H261" s="426">
        <v>319.54432000000003</v>
      </c>
      <c r="I261" s="425">
        <v>11.08784</v>
      </c>
      <c r="J261" s="425">
        <v>39.49</v>
      </c>
      <c r="K261" s="425">
        <v>3620.5276199999998</v>
      </c>
      <c r="L261" s="542" t="s">
        <v>621</v>
      </c>
      <c r="M261" s="423" t="s">
        <v>699</v>
      </c>
      <c r="N261" s="206">
        <v>231.26820000000001</v>
      </c>
      <c r="O261" s="546"/>
      <c r="R261" s="206"/>
    </row>
    <row r="262" spans="1:18" ht="15">
      <c r="A262" s="424">
        <v>308641</v>
      </c>
      <c r="B262" t="str">
        <f t="shared" si="9"/>
        <v>SEVROLL okrasná lišta S18 s lepidlom 3m oliv</v>
      </c>
      <c r="C262" s="209">
        <f t="shared" si="10"/>
        <v>11.88327</v>
      </c>
      <c r="D262" s="542" t="s">
        <v>3434</v>
      </c>
      <c r="E262" s="542" t="s">
        <v>2264</v>
      </c>
      <c r="F262" s="542" t="s">
        <v>3435</v>
      </c>
      <c r="G262" s="542" t="s">
        <v>2265</v>
      </c>
      <c r="H262" s="426">
        <v>343.02976000000001</v>
      </c>
      <c r="I262" s="425">
        <v>11.88327</v>
      </c>
      <c r="J262" s="425">
        <v>40.54</v>
      </c>
      <c r="K262" s="425">
        <v>3886.6243100000002</v>
      </c>
      <c r="L262" s="542" t="s">
        <v>622</v>
      </c>
      <c r="M262" s="423" t="s">
        <v>699</v>
      </c>
      <c r="N262" s="206">
        <v>235.84129999999999</v>
      </c>
      <c r="O262" s="546"/>
      <c r="R262" s="206"/>
    </row>
    <row r="263" spans="1:18" ht="15">
      <c r="A263" s="424">
        <v>223341</v>
      </c>
      <c r="B263" t="str">
        <f t="shared" si="9"/>
        <v>SEVROLL profil "U" 18mm 3m oliva kartáč</v>
      </c>
      <c r="C263" s="209">
        <f t="shared" si="10"/>
        <v>11.931480000000001</v>
      </c>
      <c r="D263" s="542" t="s">
        <v>3380</v>
      </c>
      <c r="E263" s="542" t="s">
        <v>1153</v>
      </c>
      <c r="F263" s="542" t="s">
        <v>3381</v>
      </c>
      <c r="G263" s="542" t="s">
        <v>2329</v>
      </c>
      <c r="H263" s="426">
        <v>343.74144000000001</v>
      </c>
      <c r="I263" s="425">
        <v>11.931480000000001</v>
      </c>
      <c r="J263" s="425">
        <v>40.619999999999997</v>
      </c>
      <c r="K263" s="425">
        <v>3894.6878499999998</v>
      </c>
      <c r="L263" s="542" t="s">
        <v>622</v>
      </c>
      <c r="M263" s="423" t="s">
        <v>699</v>
      </c>
      <c r="N263" s="206">
        <v>236.49459999999999</v>
      </c>
      <c r="O263" s="546"/>
      <c r="R263" s="206"/>
    </row>
    <row r="264" spans="1:18" ht="15">
      <c r="A264" s="424">
        <v>223342</v>
      </c>
      <c r="B264" t="str">
        <f t="shared" si="9"/>
        <v>SEVROLL profil "U" 18mm 3m oliva tm.kartáč</v>
      </c>
      <c r="C264" s="209">
        <f t="shared" si="10"/>
        <v>11.931480000000001</v>
      </c>
      <c r="D264" s="542" t="s">
        <v>3378</v>
      </c>
      <c r="E264" s="542" t="s">
        <v>2330</v>
      </c>
      <c r="F264" s="542" t="s">
        <v>3379</v>
      </c>
      <c r="G264" s="542" t="s">
        <v>2331</v>
      </c>
      <c r="H264" s="426">
        <v>343.74144000000001</v>
      </c>
      <c r="I264" s="425">
        <v>11.931480000000001</v>
      </c>
      <c r="J264" s="425">
        <v>40.619999999999997</v>
      </c>
      <c r="K264" s="425">
        <v>3894.6878499999998</v>
      </c>
      <c r="L264" s="542" t="s">
        <v>622</v>
      </c>
      <c r="M264" s="423" t="s">
        <v>699</v>
      </c>
      <c r="N264" s="206">
        <v>236.49459999999999</v>
      </c>
      <c r="O264" s="546"/>
      <c r="R264" s="206"/>
    </row>
    <row r="265" spans="1:18" ht="15">
      <c r="A265" s="424">
        <v>224118</v>
      </c>
      <c r="B265" t="str">
        <f t="shared" si="9"/>
        <v>SEVROLL horné vedenie Simple 1,5m oliva</v>
      </c>
      <c r="C265" s="209">
        <f t="shared" si="10"/>
        <v>15.36787</v>
      </c>
      <c r="D265" s="542" t="s">
        <v>3352</v>
      </c>
      <c r="E265" s="542" t="s">
        <v>2368</v>
      </c>
      <c r="F265" s="542" t="s">
        <v>3353</v>
      </c>
      <c r="G265" s="542" t="s">
        <v>2369</v>
      </c>
      <c r="H265" s="426">
        <v>331.76519999999999</v>
      </c>
      <c r="I265" s="425">
        <v>15.36787</v>
      </c>
      <c r="J265" s="425">
        <v>40</v>
      </c>
      <c r="K265" s="425">
        <v>3564.0828700000002</v>
      </c>
      <c r="L265" s="542" t="s">
        <v>622</v>
      </c>
      <c r="M265" s="423" t="s">
        <v>699</v>
      </c>
      <c r="N265" s="206">
        <v>237.9402</v>
      </c>
      <c r="O265" s="546"/>
      <c r="R265" s="206"/>
    </row>
    <row r="266" spans="1:18" ht="15">
      <c r="A266" s="424">
        <v>308686</v>
      </c>
      <c r="B266" t="str">
        <f t="shared" si="9"/>
        <v>SEVROLL Libra úchytová lišta 18mm 2,5m oliv</v>
      </c>
      <c r="C266" s="209" t="e">
        <f t="shared" si="10"/>
        <v>#N/A</v>
      </c>
      <c r="D266" s="542" t="s">
        <v>3548</v>
      </c>
      <c r="E266" s="542" t="s">
        <v>2065</v>
      </c>
      <c r="F266" s="542" t="s">
        <v>3549</v>
      </c>
      <c r="G266" s="542" t="s">
        <v>2066</v>
      </c>
      <c r="H266" s="426">
        <v>1E-3</v>
      </c>
      <c r="I266" s="425" t="e">
        <v>#N/A</v>
      </c>
      <c r="J266" s="425">
        <v>1E-3</v>
      </c>
      <c r="K266" s="425">
        <v>1E-3</v>
      </c>
      <c r="L266" s="542" t="s">
        <v>7984</v>
      </c>
      <c r="M266" s="423" t="s">
        <v>699</v>
      </c>
      <c r="N266" s="206">
        <v>238.6908</v>
      </c>
      <c r="O266" s="546"/>
      <c r="R266" s="206"/>
    </row>
    <row r="267" spans="1:18" ht="15">
      <c r="A267" s="424">
        <v>308691</v>
      </c>
      <c r="B267" t="str">
        <f t="shared" si="9"/>
        <v>SEVROLL Polo úchytová lišta 10mm 2,5m oliva</v>
      </c>
      <c r="C267" s="209" t="e">
        <f t="shared" si="10"/>
        <v>#N/A</v>
      </c>
      <c r="D267" s="542" t="s">
        <v>3398</v>
      </c>
      <c r="E267" s="542" t="s">
        <v>2306</v>
      </c>
      <c r="F267" s="542" t="s">
        <v>3398</v>
      </c>
      <c r="G267" s="542" t="s">
        <v>2307</v>
      </c>
      <c r="H267" s="426">
        <v>1E-3</v>
      </c>
      <c r="I267" s="425" t="e">
        <v>#N/A</v>
      </c>
      <c r="J267" s="425">
        <v>1E-3</v>
      </c>
      <c r="K267" s="425">
        <v>1E-3</v>
      </c>
      <c r="L267" s="542" t="s">
        <v>7984</v>
      </c>
      <c r="M267" s="423" t="s">
        <v>699</v>
      </c>
      <c r="N267" s="206">
        <v>240.9426</v>
      </c>
      <c r="O267" s="546"/>
      <c r="R267" s="206"/>
    </row>
    <row r="268" spans="1:18" ht="15">
      <c r="A268" s="424">
        <v>223343</v>
      </c>
      <c r="B268" t="str">
        <f t="shared" si="9"/>
        <v>SEVROLL profil "U" 18mm 3m čierna kartáč.</v>
      </c>
      <c r="C268" s="209">
        <f t="shared" si="10"/>
        <v>11.931480000000001</v>
      </c>
      <c r="D268" s="542" t="s">
        <v>3382</v>
      </c>
      <c r="E268" s="542" t="s">
        <v>2327</v>
      </c>
      <c r="F268" s="542" t="s">
        <v>3383</v>
      </c>
      <c r="G268" s="542" t="s">
        <v>2328</v>
      </c>
      <c r="H268" s="426">
        <v>343.74144000000001</v>
      </c>
      <c r="I268" s="425">
        <v>11.931480000000001</v>
      </c>
      <c r="J268" s="425">
        <v>40.619999999999997</v>
      </c>
      <c r="K268" s="425">
        <v>3894.6878499999998</v>
      </c>
      <c r="L268" s="542" t="s">
        <v>622</v>
      </c>
      <c r="M268" s="423" t="s">
        <v>699</v>
      </c>
      <c r="N268" s="206">
        <v>242.37430000000001</v>
      </c>
      <c r="O268" s="546"/>
      <c r="R268" s="206"/>
    </row>
    <row r="269" spans="1:18" ht="15">
      <c r="A269" s="424">
        <v>162670</v>
      </c>
      <c r="B269" t="str">
        <f t="shared" si="9"/>
        <v>SEVROLL-MASKA DOUBLER II 4,05 M striebor</v>
      </c>
      <c r="C269" s="209">
        <f t="shared" si="10"/>
        <v>12.31714</v>
      </c>
      <c r="D269" s="542" t="s">
        <v>3853</v>
      </c>
      <c r="E269" s="542" t="s">
        <v>1081</v>
      </c>
      <c r="F269" s="542" t="s">
        <v>710</v>
      </c>
      <c r="G269" s="542" t="s">
        <v>1689</v>
      </c>
      <c r="H269" s="426">
        <v>354.41663999999997</v>
      </c>
      <c r="I269" s="425">
        <v>12.31714</v>
      </c>
      <c r="J269" s="425">
        <v>41.88</v>
      </c>
      <c r="K269" s="425">
        <v>4015.6408999999999</v>
      </c>
      <c r="L269" s="542" t="s">
        <v>621</v>
      </c>
      <c r="M269" s="423" t="s">
        <v>699</v>
      </c>
      <c r="N269" s="206">
        <v>243.68090000000001</v>
      </c>
      <c r="O269" s="546"/>
      <c r="R269" s="206"/>
    </row>
    <row r="270" spans="1:18" ht="15">
      <c r="A270" s="424">
        <v>349796</v>
      </c>
      <c r="B270" t="str">
        <f t="shared" si="9"/>
        <v/>
      </c>
      <c r="C270" s="209">
        <f t="shared" si="10"/>
        <v>14.659420000000001</v>
      </c>
      <c r="D270" s="542" t="s">
        <v>3920</v>
      </c>
      <c r="E270" s="542" t="s">
        <v>1586</v>
      </c>
      <c r="F270" s="542" t="s">
        <v>84</v>
      </c>
      <c r="G270" s="542" t="s">
        <v>84</v>
      </c>
      <c r="H270" s="426">
        <v>327.26159999999999</v>
      </c>
      <c r="I270" s="425">
        <v>14.659420000000001</v>
      </c>
      <c r="J270" s="425">
        <v>36.67</v>
      </c>
      <c r="K270" s="425">
        <v>3515.7016699999999</v>
      </c>
      <c r="L270" s="542" t="s">
        <v>622</v>
      </c>
      <c r="M270" s="423" t="s">
        <v>699</v>
      </c>
      <c r="N270" s="206">
        <v>246.1968</v>
      </c>
      <c r="O270" s="546"/>
      <c r="R270" s="206"/>
    </row>
    <row r="271" spans="1:18" ht="15">
      <c r="A271" s="424">
        <v>215234</v>
      </c>
      <c r="B271" t="str">
        <f t="shared" si="9"/>
        <v>SEVROLL Polo úch.lišta 10mm 2,70m strieborná</v>
      </c>
      <c r="C271" s="209">
        <f t="shared" si="10"/>
        <v>14.3597</v>
      </c>
      <c r="D271" s="542" t="s">
        <v>4310</v>
      </c>
      <c r="E271" s="542" t="s">
        <v>2311</v>
      </c>
      <c r="F271" s="542" t="s">
        <v>4311</v>
      </c>
      <c r="G271" s="542" t="s">
        <v>2312</v>
      </c>
      <c r="H271" s="426">
        <v>318.25439999999998</v>
      </c>
      <c r="I271" s="425">
        <v>14.3597</v>
      </c>
      <c r="J271" s="425">
        <v>42.99</v>
      </c>
      <c r="K271" s="425">
        <v>3418.93923</v>
      </c>
      <c r="L271" s="542" t="s">
        <v>621</v>
      </c>
      <c r="M271" s="423" t="s">
        <v>699</v>
      </c>
      <c r="N271" s="206">
        <v>246.1968</v>
      </c>
      <c r="O271" s="546"/>
      <c r="R271" s="206"/>
    </row>
    <row r="272" spans="1:18" ht="15">
      <c r="A272" s="424">
        <v>224128</v>
      </c>
      <c r="B272" t="str">
        <f t="shared" si="9"/>
        <v>SEVROLL spodné vedenie Simple 3m oliva</v>
      </c>
      <c r="C272" s="209">
        <f t="shared" si="10"/>
        <v>15.47686</v>
      </c>
      <c r="D272" s="542" t="s">
        <v>3330</v>
      </c>
      <c r="E272" s="542" t="s">
        <v>2405</v>
      </c>
      <c r="F272" s="542" t="s">
        <v>3331</v>
      </c>
      <c r="G272" s="542" t="s">
        <v>2406</v>
      </c>
      <c r="H272" s="426">
        <v>343.02420000000001</v>
      </c>
      <c r="I272" s="425">
        <v>15.47686</v>
      </c>
      <c r="J272" s="425">
        <v>43.05</v>
      </c>
      <c r="K272" s="425">
        <v>3685.0359199999998</v>
      </c>
      <c r="L272" s="542" t="s">
        <v>622</v>
      </c>
      <c r="M272" s="423" t="s">
        <v>699</v>
      </c>
      <c r="N272" s="206">
        <v>246.1968</v>
      </c>
      <c r="O272" s="546"/>
      <c r="R272" s="206"/>
    </row>
    <row r="273" spans="1:18" ht="15">
      <c r="A273" s="424">
        <v>351475</v>
      </c>
      <c r="B273" t="str">
        <f t="shared" si="9"/>
        <v>SEVROLL Gemini spodné vedenie 1,7m biela les</v>
      </c>
      <c r="C273" s="209">
        <f t="shared" si="10"/>
        <v>12.48587</v>
      </c>
      <c r="D273" s="542" t="s">
        <v>3681</v>
      </c>
      <c r="E273" s="542" t="s">
        <v>3682</v>
      </c>
      <c r="F273" s="542" t="s">
        <v>3683</v>
      </c>
      <c r="G273" s="542" t="s">
        <v>84</v>
      </c>
      <c r="H273" s="426">
        <v>359.39839999999998</v>
      </c>
      <c r="I273" s="425">
        <v>12.48587</v>
      </c>
      <c r="J273" s="425">
        <v>42.96</v>
      </c>
      <c r="K273" s="425">
        <v>4072.0856399999998</v>
      </c>
      <c r="L273" s="542" t="s">
        <v>622</v>
      </c>
      <c r="M273" s="423" t="s">
        <v>699</v>
      </c>
      <c r="N273" s="206">
        <v>246.94739999999999</v>
      </c>
      <c r="O273" s="546"/>
      <c r="R273" s="206"/>
    </row>
    <row r="274" spans="1:18" ht="15">
      <c r="A274" s="424">
        <v>180411</v>
      </c>
      <c r="B274" t="str">
        <f t="shared" si="9"/>
        <v>SEVROLL-SPODNÉ VED. MAXIM II 1,8M STR.</v>
      </c>
      <c r="C274" s="209">
        <f t="shared" si="10"/>
        <v>12.48587</v>
      </c>
      <c r="D274" s="542" t="s">
        <v>3484</v>
      </c>
      <c r="E274" s="542" t="s">
        <v>2181</v>
      </c>
      <c r="F274" s="542" t="s">
        <v>707</v>
      </c>
      <c r="G274" s="542" t="s">
        <v>2182</v>
      </c>
      <c r="H274" s="426">
        <v>359.39839999999998</v>
      </c>
      <c r="I274" s="425">
        <v>12.48587</v>
      </c>
      <c r="J274" s="425">
        <v>42.47</v>
      </c>
      <c r="K274" s="425">
        <v>4072.0856399999998</v>
      </c>
      <c r="L274" s="542" t="s">
        <v>622</v>
      </c>
      <c r="M274" s="423" t="s">
        <v>699</v>
      </c>
      <c r="N274" s="206">
        <v>246.94739999999999</v>
      </c>
      <c r="O274" s="546"/>
      <c r="R274" s="206"/>
    </row>
    <row r="275" spans="1:18" ht="15">
      <c r="A275" s="424">
        <v>349814</v>
      </c>
      <c r="B275" t="str">
        <f t="shared" si="9"/>
        <v>SEVROLL Blue-V spodné vedenie 3m strieborná</v>
      </c>
      <c r="C275" s="209">
        <f t="shared" si="10"/>
        <v>14.577680000000001</v>
      </c>
      <c r="D275" s="542" t="s">
        <v>4068</v>
      </c>
      <c r="E275" s="542" t="s">
        <v>1615</v>
      </c>
      <c r="F275" s="542" t="s">
        <v>4069</v>
      </c>
      <c r="G275" s="542" t="s">
        <v>84</v>
      </c>
      <c r="H275" s="426">
        <v>320.50619999999998</v>
      </c>
      <c r="I275" s="425">
        <v>14.577680000000001</v>
      </c>
      <c r="J275" s="425">
        <v>50.39</v>
      </c>
      <c r="K275" s="425">
        <v>3443.1298400000001</v>
      </c>
      <c r="L275" s="542" t="s">
        <v>1025</v>
      </c>
      <c r="M275" s="423" t="s">
        <v>699</v>
      </c>
      <c r="N275" s="206">
        <v>247.69800000000001</v>
      </c>
      <c r="O275" s="546"/>
      <c r="R275" s="206"/>
    </row>
    <row r="276" spans="1:18" ht="15">
      <c r="A276" s="424">
        <v>98057</v>
      </c>
      <c r="B276" t="str">
        <f t="shared" si="9"/>
        <v>SEVROLL Gemini spodné vedenie 2,35m striebor</v>
      </c>
      <c r="C276" s="209">
        <f t="shared" si="10"/>
        <v>12.79922</v>
      </c>
      <c r="D276" s="542" t="s">
        <v>4531</v>
      </c>
      <c r="E276" s="542" t="s">
        <v>4532</v>
      </c>
      <c r="F276" s="542" t="s">
        <v>4533</v>
      </c>
      <c r="G276" s="542" t="s">
        <v>1966</v>
      </c>
      <c r="H276" s="426">
        <v>343.74144000000001</v>
      </c>
      <c r="I276" s="425">
        <v>12.79922</v>
      </c>
      <c r="J276" s="425">
        <v>42.26</v>
      </c>
      <c r="K276" s="425">
        <v>3894.6878499999998</v>
      </c>
      <c r="L276" s="542" t="s">
        <v>621</v>
      </c>
      <c r="M276" s="423" t="s">
        <v>699</v>
      </c>
      <c r="N276" s="206">
        <v>248.25399999999999</v>
      </c>
      <c r="O276" s="546"/>
      <c r="R276" s="206"/>
    </row>
    <row r="277" spans="1:18" ht="15">
      <c r="A277" s="424">
        <v>349866</v>
      </c>
      <c r="B277" t="str">
        <f t="shared" si="9"/>
        <v/>
      </c>
      <c r="C277" s="209">
        <f t="shared" si="10"/>
        <v>14.82291</v>
      </c>
      <c r="D277" s="542" t="s">
        <v>3906</v>
      </c>
      <c r="E277" s="542" t="s">
        <v>1606</v>
      </c>
      <c r="F277" s="542" t="s">
        <v>84</v>
      </c>
      <c r="G277" s="542" t="s">
        <v>84</v>
      </c>
      <c r="H277" s="426">
        <v>337.77</v>
      </c>
      <c r="I277" s="425">
        <v>14.82291</v>
      </c>
      <c r="J277" s="425">
        <v>51.68</v>
      </c>
      <c r="K277" s="425">
        <v>3628.5911599999999</v>
      </c>
      <c r="L277" s="542" t="s">
        <v>622</v>
      </c>
      <c r="M277" s="423" t="s">
        <v>699</v>
      </c>
      <c r="N277" s="206">
        <v>248.4486</v>
      </c>
      <c r="O277" s="546"/>
      <c r="R277" s="206"/>
    </row>
    <row r="278" spans="1:18" ht="15">
      <c r="A278" s="424">
        <v>215232</v>
      </c>
      <c r="B278" t="str">
        <f t="shared" si="9"/>
        <v>SEVROLL Libra úch. lišta 18mm 2,70m strieborná</v>
      </c>
      <c r="C278" s="209">
        <f t="shared" si="10"/>
        <v>15.6676</v>
      </c>
      <c r="D278" s="542" t="s">
        <v>3078</v>
      </c>
      <c r="E278" s="542" t="s">
        <v>2071</v>
      </c>
      <c r="F278" s="542" t="s">
        <v>3079</v>
      </c>
      <c r="G278" s="542" t="s">
        <v>2072</v>
      </c>
      <c r="H278" s="426">
        <v>343.77480000000003</v>
      </c>
      <c r="I278" s="425">
        <v>15.6676</v>
      </c>
      <c r="J278" s="425">
        <v>41.4</v>
      </c>
      <c r="K278" s="425">
        <v>3693.0994599999999</v>
      </c>
      <c r="L278" s="542" t="s">
        <v>622</v>
      </c>
      <c r="M278" s="423" t="s">
        <v>699</v>
      </c>
      <c r="N278" s="206">
        <v>248.4486</v>
      </c>
      <c r="O278" s="546"/>
      <c r="R278" s="206"/>
    </row>
    <row r="279" spans="1:18" ht="15">
      <c r="A279" s="424">
        <v>190753</v>
      </c>
      <c r="B279" t="str">
        <f t="shared" si="9"/>
        <v>SEVROLL-FIRST HOR/SPOD VED. 3 M OLIVA</v>
      </c>
      <c r="C279" s="209">
        <f t="shared" si="10"/>
        <v>13.498239999999999</v>
      </c>
      <c r="D279" s="542" t="s">
        <v>3760</v>
      </c>
      <c r="E279" s="542" t="s">
        <v>792</v>
      </c>
      <c r="F279" s="542" t="s">
        <v>791</v>
      </c>
      <c r="G279" s="542" t="s">
        <v>1827</v>
      </c>
      <c r="H279" s="426">
        <v>362.24511999999999</v>
      </c>
      <c r="I279" s="425">
        <v>13.498239999999999</v>
      </c>
      <c r="J279" s="425">
        <v>55.66</v>
      </c>
      <c r="K279" s="425">
        <v>4104.3397699999996</v>
      </c>
      <c r="L279" s="542" t="s">
        <v>622</v>
      </c>
      <c r="M279" s="423" t="s">
        <v>699</v>
      </c>
      <c r="N279" s="206">
        <v>249.56059999999999</v>
      </c>
      <c r="O279" s="546"/>
      <c r="R279" s="206"/>
    </row>
    <row r="280" spans="1:18" ht="15">
      <c r="A280" s="424">
        <v>190752</v>
      </c>
      <c r="B280" t="str">
        <f t="shared" si="9"/>
        <v>SEVROLL-FIRST HOR/SPOD VED. 3 M STR.</v>
      </c>
      <c r="C280" s="209">
        <f t="shared" si="10"/>
        <v>13.498239999999999</v>
      </c>
      <c r="D280" s="542" t="s">
        <v>3759</v>
      </c>
      <c r="E280" s="542" t="s">
        <v>1828</v>
      </c>
      <c r="F280" s="542" t="s">
        <v>790</v>
      </c>
      <c r="G280" s="542" t="s">
        <v>1829</v>
      </c>
      <c r="H280" s="426">
        <v>362.24511999999999</v>
      </c>
      <c r="I280" s="425">
        <v>13.498239999999999</v>
      </c>
      <c r="J280" s="425">
        <v>50.6</v>
      </c>
      <c r="K280" s="425">
        <v>4104.3397699999996</v>
      </c>
      <c r="L280" s="542" t="s">
        <v>622</v>
      </c>
      <c r="M280" s="423" t="s">
        <v>699</v>
      </c>
      <c r="N280" s="206">
        <v>249.56059999999999</v>
      </c>
      <c r="O280" s="546"/>
      <c r="R280" s="206"/>
    </row>
    <row r="281" spans="1:18" ht="15">
      <c r="A281" s="427">
        <v>340601</v>
      </c>
      <c r="B281" t="str">
        <f t="shared" si="9"/>
        <v/>
      </c>
      <c r="C281" s="209" t="e">
        <f t="shared" si="10"/>
        <v>#N/A</v>
      </c>
      <c r="D281" s="542" t="s">
        <v>2712</v>
      </c>
      <c r="E281" s="542" t="s">
        <v>2720</v>
      </c>
      <c r="F281" s="542" t="s">
        <v>84</v>
      </c>
      <c r="G281" s="542" t="s">
        <v>84</v>
      </c>
      <c r="H281" s="426">
        <v>273.91896000000003</v>
      </c>
      <c r="I281" s="425" t="e">
        <v>#N/A</v>
      </c>
      <c r="J281" s="425">
        <v>41.05386</v>
      </c>
      <c r="K281" s="425">
        <v>3296.8237899999999</v>
      </c>
      <c r="L281" s="542" t="s">
        <v>622</v>
      </c>
      <c r="M281" s="428" t="s">
        <v>699</v>
      </c>
      <c r="N281" s="206">
        <v>250.00540000000001</v>
      </c>
      <c r="O281" s="546"/>
      <c r="R281" s="206"/>
    </row>
    <row r="282" spans="1:18" ht="15">
      <c r="A282" s="424">
        <v>298399</v>
      </c>
      <c r="B282" t="str">
        <f t="shared" si="9"/>
        <v>SEVROLL uholník 18x36mm 3m strieborná</v>
      </c>
      <c r="C282" s="209">
        <f t="shared" si="10"/>
        <v>12.052</v>
      </c>
      <c r="D282" s="542" t="s">
        <v>4142</v>
      </c>
      <c r="E282" s="542" t="s">
        <v>2608</v>
      </c>
      <c r="F282" s="542" t="s">
        <v>4143</v>
      </c>
      <c r="G282" s="542" t="s">
        <v>2609</v>
      </c>
      <c r="H282" s="426">
        <v>346.58816000000002</v>
      </c>
      <c r="I282" s="425">
        <v>12.052</v>
      </c>
      <c r="J282" s="425">
        <v>40.96</v>
      </c>
      <c r="K282" s="425">
        <v>3926.942</v>
      </c>
      <c r="L282" s="542" t="s">
        <v>621</v>
      </c>
      <c r="M282" s="423" t="s">
        <v>699</v>
      </c>
      <c r="N282" s="206">
        <v>250.8672</v>
      </c>
      <c r="O282" s="546"/>
      <c r="R282" s="206"/>
    </row>
    <row r="283" spans="1:18" ht="15">
      <c r="A283" s="424">
        <v>346123</v>
      </c>
      <c r="B283" t="str">
        <f t="shared" si="9"/>
        <v/>
      </c>
      <c r="C283" s="209">
        <f t="shared" si="10"/>
        <v>13.30541</v>
      </c>
      <c r="D283" s="542" t="s">
        <v>3514</v>
      </c>
      <c r="E283" s="542" t="s">
        <v>2134</v>
      </c>
      <c r="F283" s="542" t="s">
        <v>84</v>
      </c>
      <c r="G283" s="542" t="s">
        <v>3515</v>
      </c>
      <c r="H283" s="426">
        <v>367.93856</v>
      </c>
      <c r="I283" s="425">
        <v>13.30541</v>
      </c>
      <c r="J283" s="425">
        <v>44.16</v>
      </c>
      <c r="K283" s="425">
        <v>4168.8480799999998</v>
      </c>
      <c r="L283" s="542" t="s">
        <v>622</v>
      </c>
      <c r="M283" s="423" t="s">
        <v>699</v>
      </c>
      <c r="N283" s="206">
        <v>253.4804</v>
      </c>
      <c r="O283" s="546"/>
      <c r="R283" s="206"/>
    </row>
    <row r="284" spans="1:18" ht="15">
      <c r="A284" s="424">
        <v>216358</v>
      </c>
      <c r="B284" t="str">
        <f t="shared" si="9"/>
        <v>SEVROLL upevňov.klín Simple 40ks (sklo 4mm)</v>
      </c>
      <c r="C284" s="209">
        <f t="shared" si="10"/>
        <v>13.13208</v>
      </c>
      <c r="D284" s="542" t="s">
        <v>3017</v>
      </c>
      <c r="E284" s="542" t="s">
        <v>2654</v>
      </c>
      <c r="F284" s="542" t="s">
        <v>3018</v>
      </c>
      <c r="G284" s="542" t="s">
        <v>2655</v>
      </c>
      <c r="H284" s="426">
        <v>313.75080000000003</v>
      </c>
      <c r="I284" s="425">
        <v>13.13208</v>
      </c>
      <c r="J284" s="425">
        <v>40.340000000000003</v>
      </c>
      <c r="K284" s="425">
        <v>3370.558</v>
      </c>
      <c r="L284" s="542" t="s">
        <v>623</v>
      </c>
      <c r="M284" s="423" t="s">
        <v>939</v>
      </c>
      <c r="N284" s="206">
        <v>253.7028</v>
      </c>
      <c r="O284" s="546"/>
      <c r="R284" s="206"/>
    </row>
    <row r="285" spans="1:18" ht="15">
      <c r="A285" s="424">
        <v>336796</v>
      </c>
      <c r="B285" t="str">
        <f t="shared" si="9"/>
        <v>SEVROLL spoj.lišta Simple H21 3m(18mm) str.</v>
      </c>
      <c r="C285" s="209">
        <f t="shared" si="10"/>
        <v>13.24253</v>
      </c>
      <c r="D285" s="542" t="s">
        <v>4003</v>
      </c>
      <c r="E285" s="542" t="s">
        <v>2535</v>
      </c>
      <c r="F285" s="542" t="s">
        <v>4004</v>
      </c>
      <c r="G285" s="542" t="s">
        <v>84</v>
      </c>
      <c r="H285" s="426">
        <v>329.51339999999999</v>
      </c>
      <c r="I285" s="425">
        <v>13.24253</v>
      </c>
      <c r="J285" s="425">
        <v>43.79</v>
      </c>
      <c r="K285" s="425">
        <v>3539.8922600000001</v>
      </c>
      <c r="L285" s="542" t="s">
        <v>1025</v>
      </c>
      <c r="M285" s="423" t="s">
        <v>699</v>
      </c>
      <c r="N285" s="206">
        <v>254.45339999999999</v>
      </c>
      <c r="O285" s="546"/>
      <c r="R285" s="206"/>
    </row>
    <row r="286" spans="1:18" ht="15">
      <c r="A286" s="427">
        <v>233428</v>
      </c>
      <c r="B286" t="str">
        <f t="shared" si="9"/>
        <v>ASTIN Fiona II úch.lišta 2,7m strieborná</v>
      </c>
      <c r="C286" s="209">
        <f t="shared" si="10"/>
        <v>13.425929999999999</v>
      </c>
      <c r="D286" s="542" t="s">
        <v>4707</v>
      </c>
      <c r="E286" s="542" t="s">
        <v>1326</v>
      </c>
      <c r="F286" s="542" t="s">
        <v>4708</v>
      </c>
      <c r="G286" s="542" t="s">
        <v>1327</v>
      </c>
      <c r="H286" s="426">
        <v>337.60320000000002</v>
      </c>
      <c r="I286" s="425">
        <v>13.425929999999999</v>
      </c>
      <c r="J286" s="425">
        <v>50.598610000000001</v>
      </c>
      <c r="K286" s="425">
        <v>4080.1491799999999</v>
      </c>
      <c r="L286" s="542" t="s">
        <v>621</v>
      </c>
      <c r="M286" s="428" t="s">
        <v>699</v>
      </c>
      <c r="N286" s="206">
        <v>254.4812</v>
      </c>
      <c r="O286" s="546"/>
      <c r="R286" s="206"/>
    </row>
    <row r="287" spans="1:18" ht="15">
      <c r="A287" s="424">
        <v>303463</v>
      </c>
      <c r="B287" t="str">
        <f t="shared" si="9"/>
        <v>SEVROLL úchytka Push 90mm brúsený nikel</v>
      </c>
      <c r="C287" s="209">
        <f t="shared" si="10"/>
        <v>12.606389999999999</v>
      </c>
      <c r="D287" s="542" t="s">
        <v>3190</v>
      </c>
      <c r="E287" s="542" t="s">
        <v>2638</v>
      </c>
      <c r="F287" s="542" t="s">
        <v>3191</v>
      </c>
      <c r="G287" s="542" t="s">
        <v>2639</v>
      </c>
      <c r="H287" s="426">
        <v>338.048</v>
      </c>
      <c r="I287" s="425">
        <v>12.606389999999999</v>
      </c>
      <c r="J287" s="425">
        <v>48.26</v>
      </c>
      <c r="K287" s="425">
        <v>3830.17956</v>
      </c>
      <c r="L287" s="542" t="s">
        <v>622</v>
      </c>
      <c r="M287" s="423" t="s">
        <v>699</v>
      </c>
      <c r="N287" s="206">
        <v>255.44030000000001</v>
      </c>
      <c r="O287" s="546"/>
      <c r="R287" s="206"/>
    </row>
    <row r="288" spans="1:18" ht="15">
      <c r="A288" s="424">
        <v>349474</v>
      </c>
      <c r="B288" t="str">
        <f t="shared" si="9"/>
        <v>SEVROLL Era úchytová lišta 18mm 2,70m strieborná</v>
      </c>
      <c r="C288" s="209">
        <f t="shared" si="10"/>
        <v>15.504110000000001</v>
      </c>
      <c r="D288" s="542" t="s">
        <v>4050</v>
      </c>
      <c r="E288" s="542" t="s">
        <v>1781</v>
      </c>
      <c r="F288" s="542" t="s">
        <v>4051</v>
      </c>
      <c r="G288" s="542" t="s">
        <v>84</v>
      </c>
      <c r="H288" s="426">
        <v>340.7724</v>
      </c>
      <c r="I288" s="425">
        <v>15.504110000000001</v>
      </c>
      <c r="J288" s="425">
        <v>38.270000000000003</v>
      </c>
      <c r="K288" s="425">
        <v>3660.8453100000002</v>
      </c>
      <c r="L288" s="542" t="s">
        <v>1025</v>
      </c>
      <c r="M288" s="423" t="s">
        <v>699</v>
      </c>
      <c r="N288" s="206">
        <v>256.70519999999999</v>
      </c>
      <c r="O288" s="546"/>
      <c r="R288" s="206"/>
    </row>
    <row r="289" spans="1:18" ht="15">
      <c r="A289" s="429">
        <v>190515</v>
      </c>
      <c r="B289" t="str">
        <f t="shared" si="9"/>
        <v>SEVROLL-HORNÉ VEDENIE URSUS 1,2M SUROVÁ</v>
      </c>
      <c r="C289" s="209">
        <f t="shared" si="10"/>
        <v>15.0891</v>
      </c>
      <c r="D289" s="542" t="s">
        <v>3182</v>
      </c>
      <c r="E289" s="542" t="s">
        <v>1066</v>
      </c>
      <c r="F289" s="542" t="s">
        <v>1067</v>
      </c>
      <c r="G289" s="542" t="s">
        <v>2800</v>
      </c>
      <c r="H289" s="426">
        <v>389.46132</v>
      </c>
      <c r="I289" s="425">
        <v>15.0891</v>
      </c>
      <c r="J289" s="425">
        <v>47.36</v>
      </c>
      <c r="K289" s="425">
        <v>4378.5</v>
      </c>
      <c r="L289" s="542" t="s">
        <v>622</v>
      </c>
      <c r="M289" s="430" t="s">
        <v>699</v>
      </c>
      <c r="N289" s="206">
        <v>256.84142000000003</v>
      </c>
      <c r="O289" s="546"/>
      <c r="R289" s="206"/>
    </row>
    <row r="290" spans="1:18" ht="15">
      <c r="A290" s="424">
        <v>364016</v>
      </c>
      <c r="B290" t="str">
        <f t="shared" si="9"/>
        <v/>
      </c>
      <c r="C290" s="209">
        <f t="shared" si="10"/>
        <v>13.04026</v>
      </c>
      <c r="D290" s="542" t="s">
        <v>3436</v>
      </c>
      <c r="E290" s="542" t="s">
        <v>3437</v>
      </c>
      <c r="F290" s="542" t="s">
        <v>84</v>
      </c>
      <c r="G290" s="542" t="s">
        <v>84</v>
      </c>
      <c r="H290" s="426">
        <v>375.76704000000001</v>
      </c>
      <c r="I290" s="425">
        <v>13.04026</v>
      </c>
      <c r="J290" s="425">
        <v>44.41</v>
      </c>
      <c r="K290" s="425">
        <v>4257.5469700000003</v>
      </c>
      <c r="L290" s="542" t="s">
        <v>622</v>
      </c>
      <c r="M290" s="423" t="s">
        <v>699</v>
      </c>
      <c r="N290" s="206">
        <v>258.05349999999999</v>
      </c>
      <c r="O290" s="546"/>
      <c r="R290" s="206"/>
    </row>
    <row r="291" spans="1:18" ht="15">
      <c r="A291" s="424">
        <v>284977</v>
      </c>
      <c r="B291" t="str">
        <f t="shared" si="9"/>
        <v>SEVROLL Maxim II maska 3,5m oliva</v>
      </c>
      <c r="C291" s="209">
        <f t="shared" si="10"/>
        <v>12.437659999999999</v>
      </c>
      <c r="D291" s="542" t="s">
        <v>3488</v>
      </c>
      <c r="E291" s="542" t="s">
        <v>2175</v>
      </c>
      <c r="F291" s="542" t="s">
        <v>3488</v>
      </c>
      <c r="G291" s="542" t="s">
        <v>2176</v>
      </c>
      <c r="H291" s="426">
        <v>358.68671999999998</v>
      </c>
      <c r="I291" s="425">
        <v>12.437659999999999</v>
      </c>
      <c r="J291" s="425">
        <v>42.39</v>
      </c>
      <c r="K291" s="425">
        <v>4064.0221000000001</v>
      </c>
      <c r="L291" s="542" t="s">
        <v>622</v>
      </c>
      <c r="M291" s="423" t="s">
        <v>699</v>
      </c>
      <c r="N291" s="206">
        <v>258.70679999999999</v>
      </c>
      <c r="O291" s="546"/>
      <c r="R291" s="206"/>
    </row>
    <row r="292" spans="1:18" ht="15">
      <c r="A292" s="424">
        <v>276738</v>
      </c>
      <c r="B292" t="str">
        <f t="shared" si="9"/>
        <v>SEVROLL spojov.lišta H08/18 3m RAL9003 mat</v>
      </c>
      <c r="C292" s="209">
        <f t="shared" si="10"/>
        <v>13.06437</v>
      </c>
      <c r="D292" s="542" t="s">
        <v>3266</v>
      </c>
      <c r="E292" s="542" t="s">
        <v>2496</v>
      </c>
      <c r="F292" s="542" t="s">
        <v>3267</v>
      </c>
      <c r="G292" s="542" t="s">
        <v>2497</v>
      </c>
      <c r="H292" s="426">
        <v>376.47872000000001</v>
      </c>
      <c r="I292" s="425">
        <v>13.06437</v>
      </c>
      <c r="J292" s="425">
        <v>44.49</v>
      </c>
      <c r="K292" s="425">
        <v>4265.61049</v>
      </c>
      <c r="L292" s="542" t="s">
        <v>622</v>
      </c>
      <c r="M292" s="423" t="s">
        <v>699</v>
      </c>
      <c r="N292" s="206">
        <v>258.70679999999999</v>
      </c>
      <c r="O292" s="546"/>
      <c r="R292" s="206"/>
    </row>
    <row r="293" spans="1:18" ht="15">
      <c r="A293" s="424">
        <v>349797</v>
      </c>
      <c r="B293" t="str">
        <f t="shared" si="9"/>
        <v/>
      </c>
      <c r="C293" s="209">
        <f t="shared" si="10"/>
        <v>16.21256</v>
      </c>
      <c r="D293" s="542" t="s">
        <v>3921</v>
      </c>
      <c r="E293" s="542" t="s">
        <v>1585</v>
      </c>
      <c r="F293" s="542" t="s">
        <v>84</v>
      </c>
      <c r="G293" s="542" t="s">
        <v>84</v>
      </c>
      <c r="H293" s="426">
        <v>361.03859999999997</v>
      </c>
      <c r="I293" s="425">
        <v>16.21256</v>
      </c>
      <c r="J293" s="425">
        <v>40.83</v>
      </c>
      <c r="K293" s="425">
        <v>3878.56077</v>
      </c>
      <c r="L293" s="542" t="s">
        <v>622</v>
      </c>
      <c r="M293" s="423" t="s">
        <v>699</v>
      </c>
      <c r="N293" s="206">
        <v>258.95699999999999</v>
      </c>
      <c r="O293" s="546"/>
      <c r="R293" s="206"/>
    </row>
    <row r="294" spans="1:18" ht="15">
      <c r="A294" s="429">
        <v>128328</v>
      </c>
      <c r="B294" t="str">
        <f t="shared" si="9"/>
        <v>SEVROLL-HORNÉ VEDENIE EXCLUSIVE 1,2M STR</v>
      </c>
      <c r="C294" s="209">
        <f t="shared" si="10"/>
        <v>13.61876</v>
      </c>
      <c r="D294" s="542" t="s">
        <v>3796</v>
      </c>
      <c r="E294" s="542" t="s">
        <v>2767</v>
      </c>
      <c r="F294" s="542" t="s">
        <v>671</v>
      </c>
      <c r="G294" s="542" t="s">
        <v>2847</v>
      </c>
      <c r="H294" s="426">
        <v>395.19923999999997</v>
      </c>
      <c r="I294" s="425">
        <v>13.61876</v>
      </c>
      <c r="J294" s="425">
        <v>46.37</v>
      </c>
      <c r="K294" s="425">
        <v>4443.00828</v>
      </c>
      <c r="L294" s="542" t="s">
        <v>622</v>
      </c>
      <c r="M294" s="430" t="s">
        <v>699</v>
      </c>
      <c r="N294" s="206">
        <v>260.62777999999997</v>
      </c>
      <c r="O294" s="546"/>
      <c r="R294" s="206"/>
    </row>
    <row r="295" spans="1:18" ht="15">
      <c r="A295" s="424">
        <v>224153</v>
      </c>
      <c r="B295" t="str">
        <f t="shared" si="9"/>
        <v>SEVROLL spod.kryc.lišta Simple/Blue 2m(10mm)str.</v>
      </c>
      <c r="C295" s="209">
        <f t="shared" si="10"/>
        <v>14.577680000000001</v>
      </c>
      <c r="D295" s="542" t="s">
        <v>4239</v>
      </c>
      <c r="E295" s="542" t="s">
        <v>4240</v>
      </c>
      <c r="F295" s="542" t="s">
        <v>4242</v>
      </c>
      <c r="G295" s="542" t="s">
        <v>4241</v>
      </c>
      <c r="H295" s="426">
        <v>337.77</v>
      </c>
      <c r="I295" s="425">
        <v>14.577680000000001</v>
      </c>
      <c r="J295" s="425">
        <v>43.26</v>
      </c>
      <c r="K295" s="425">
        <v>3628.5911599999999</v>
      </c>
      <c r="L295" s="542" t="s">
        <v>621</v>
      </c>
      <c r="M295" s="423" t="s">
        <v>699</v>
      </c>
      <c r="N295" s="206">
        <v>261.2088</v>
      </c>
      <c r="O295" s="546"/>
      <c r="R295" s="206"/>
    </row>
    <row r="296" spans="1:18" ht="15">
      <c r="A296" s="424">
        <v>284600</v>
      </c>
      <c r="B296" t="str">
        <f t="shared" si="9"/>
        <v>SEVROLL Uno úchytová lišta 18mm 2,70m oliva</v>
      </c>
      <c r="C296" s="209">
        <f t="shared" si="10"/>
        <v>15.149889999999999</v>
      </c>
      <c r="D296" s="542" t="s">
        <v>3185</v>
      </c>
      <c r="E296" s="542" t="s">
        <v>1441</v>
      </c>
      <c r="F296" s="542" t="s">
        <v>3185</v>
      </c>
      <c r="G296" s="542" t="s">
        <v>2650</v>
      </c>
      <c r="H296" s="426">
        <v>351.2808</v>
      </c>
      <c r="I296" s="425">
        <v>15.149889999999999</v>
      </c>
      <c r="J296" s="425">
        <v>43.86</v>
      </c>
      <c r="K296" s="425">
        <v>3773.7348200000001</v>
      </c>
      <c r="L296" s="542" t="s">
        <v>622</v>
      </c>
      <c r="M296" s="423" t="s">
        <v>699</v>
      </c>
      <c r="N296" s="206">
        <v>261.95940000000002</v>
      </c>
      <c r="O296" s="546"/>
      <c r="R296" s="206"/>
    </row>
    <row r="297" spans="1:18" ht="15">
      <c r="A297" s="424">
        <v>222788</v>
      </c>
      <c r="B297" t="str">
        <f t="shared" ref="B297:B360" si="11">IF($A$2=1,D297,IF($A$2=2,F297,IF($A$2=3,G297,IF($A$2=4,E297,"zadat jazyk"))))</f>
        <v>SEVROLL Alfa II úch.lišta 18mm 2,7m strieborná</v>
      </c>
      <c r="C297" s="209">
        <f t="shared" si="10"/>
        <v>14.149050000000001</v>
      </c>
      <c r="D297" s="542" t="s">
        <v>4078</v>
      </c>
      <c r="E297" s="542" t="s">
        <v>1396</v>
      </c>
      <c r="F297" s="542" t="s">
        <v>4079</v>
      </c>
      <c r="G297" s="542" t="s">
        <v>1575</v>
      </c>
      <c r="H297" s="426">
        <v>372.92032</v>
      </c>
      <c r="I297" s="425">
        <v>14.149050000000001</v>
      </c>
      <c r="J297" s="425">
        <v>46.72</v>
      </c>
      <c r="K297" s="425">
        <v>4225.2928199999997</v>
      </c>
      <c r="L297" s="542" t="s">
        <v>1025</v>
      </c>
      <c r="M297" s="423" t="s">
        <v>699</v>
      </c>
      <c r="N297" s="206">
        <v>264.5865</v>
      </c>
      <c r="O297" s="546"/>
      <c r="R297" s="206"/>
    </row>
    <row r="298" spans="1:18" ht="15">
      <c r="A298" s="424">
        <v>238034</v>
      </c>
      <c r="B298" t="str">
        <f t="shared" si="11"/>
        <v>SEVROLL Maxim spojovacia lišta H18 2,5m oliv</v>
      </c>
      <c r="C298" s="209">
        <f t="shared" si="10"/>
        <v>12.75102</v>
      </c>
      <c r="D298" s="542" t="s">
        <v>3462</v>
      </c>
      <c r="E298" s="542" t="s">
        <v>1415</v>
      </c>
      <c r="F298" s="542" t="s">
        <v>3463</v>
      </c>
      <c r="G298" s="542" t="s">
        <v>2216</v>
      </c>
      <c r="H298" s="426">
        <v>367.22687999999999</v>
      </c>
      <c r="I298" s="425">
        <v>12.75102</v>
      </c>
      <c r="J298" s="425">
        <v>43.4</v>
      </c>
      <c r="K298" s="425">
        <v>4160.7845399999997</v>
      </c>
      <c r="L298" s="542" t="s">
        <v>622</v>
      </c>
      <c r="M298" s="423" t="s">
        <v>699</v>
      </c>
      <c r="N298" s="206">
        <v>265.2398</v>
      </c>
      <c r="O298" s="546"/>
      <c r="R298" s="206"/>
    </row>
    <row r="299" spans="1:18" ht="15">
      <c r="A299" s="424">
        <v>349856</v>
      </c>
      <c r="B299" t="str">
        <f t="shared" si="11"/>
        <v>SEVROLL upevňovací klín Blue 40ks (sklo 4mm)</v>
      </c>
      <c r="C299" s="209">
        <f t="shared" si="10"/>
        <v>13.542260000000001</v>
      </c>
      <c r="D299" s="542" t="s">
        <v>3986</v>
      </c>
      <c r="E299" s="542" t="s">
        <v>2653</v>
      </c>
      <c r="F299" s="542" t="s">
        <v>3986</v>
      </c>
      <c r="G299" s="542" t="s">
        <v>84</v>
      </c>
      <c r="H299" s="426">
        <v>313.75080000000003</v>
      </c>
      <c r="I299" s="425">
        <v>13.542260000000001</v>
      </c>
      <c r="J299" s="425">
        <v>40.340000000000003</v>
      </c>
      <c r="K299" s="425">
        <v>3370.558</v>
      </c>
      <c r="L299" s="542" t="s">
        <v>1025</v>
      </c>
      <c r="M299" s="423" t="s">
        <v>702</v>
      </c>
      <c r="N299" s="206">
        <v>266.46300000000002</v>
      </c>
      <c r="O299" s="546"/>
      <c r="R299" s="206"/>
    </row>
    <row r="300" spans="1:18" ht="15">
      <c r="A300" s="429">
        <v>197753</v>
      </c>
      <c r="B300" t="str">
        <f t="shared" si="11"/>
        <v>SEVROLL Hide N spodné vedenie Hide N 3m stri</v>
      </c>
      <c r="C300" s="209">
        <f t="shared" si="10"/>
        <v>13.2813</v>
      </c>
      <c r="D300" s="542" t="s">
        <v>4506</v>
      </c>
      <c r="E300" s="542" t="s">
        <v>1061</v>
      </c>
      <c r="F300" s="542" t="s">
        <v>4507</v>
      </c>
      <c r="G300" s="542" t="s">
        <v>2867</v>
      </c>
      <c r="H300" s="426">
        <v>385.15787999999998</v>
      </c>
      <c r="I300" s="425">
        <v>13.2813</v>
      </c>
      <c r="J300" s="425">
        <v>44.36</v>
      </c>
      <c r="K300" s="425">
        <v>4330.1187900000004</v>
      </c>
      <c r="L300" s="542" t="s">
        <v>621</v>
      </c>
      <c r="M300" s="430" t="s">
        <v>699</v>
      </c>
      <c r="N300" s="206">
        <v>266.93838</v>
      </c>
      <c r="O300" s="546"/>
      <c r="R300" s="206"/>
    </row>
    <row r="301" spans="1:18" ht="15">
      <c r="A301" s="424">
        <v>234757</v>
      </c>
      <c r="B301" t="str">
        <f t="shared" si="11"/>
        <v>SEV-spojovacia lišta H16 3m strie</v>
      </c>
      <c r="C301" s="209">
        <f t="shared" si="10"/>
        <v>14.486499999999999</v>
      </c>
      <c r="D301" s="542" t="s">
        <v>1126</v>
      </c>
      <c r="E301" s="542" t="s">
        <v>1127</v>
      </c>
      <c r="F301" s="542" t="s">
        <v>2515</v>
      </c>
      <c r="G301" s="542" t="s">
        <v>2514</v>
      </c>
      <c r="H301" s="426">
        <v>388.57727999999997</v>
      </c>
      <c r="I301" s="425">
        <v>14.486499999999999</v>
      </c>
      <c r="J301" s="425">
        <v>49.24</v>
      </c>
      <c r="K301" s="425">
        <v>4402.6906099999997</v>
      </c>
      <c r="L301" s="542" t="s">
        <v>622</v>
      </c>
      <c r="M301" s="423" t="s">
        <v>699</v>
      </c>
      <c r="N301" s="206">
        <v>267.19970000000001</v>
      </c>
      <c r="O301" s="546"/>
      <c r="R301" s="206"/>
    </row>
    <row r="302" spans="1:18" ht="15">
      <c r="A302" s="424">
        <v>341559</v>
      </c>
      <c r="B302" t="str">
        <f t="shared" si="11"/>
        <v>SEVROLL Rekord úchytková lišta 18mm 2,70m strieborná</v>
      </c>
      <c r="C302" s="209">
        <f t="shared" si="10"/>
        <v>14.931900000000001</v>
      </c>
      <c r="D302" s="542" t="s">
        <v>4015</v>
      </c>
      <c r="E302" s="542" t="s">
        <v>2356</v>
      </c>
      <c r="F302" s="542" t="s">
        <v>4016</v>
      </c>
      <c r="G302" s="542" t="s">
        <v>84</v>
      </c>
      <c r="H302" s="426">
        <v>346.02659999999997</v>
      </c>
      <c r="I302" s="425">
        <v>14.931900000000001</v>
      </c>
      <c r="J302" s="425">
        <v>48.51</v>
      </c>
      <c r="K302" s="425">
        <v>3717.2900500000001</v>
      </c>
      <c r="L302" s="542" t="s">
        <v>1025</v>
      </c>
      <c r="M302" s="423" t="s">
        <v>699</v>
      </c>
      <c r="N302" s="206">
        <v>267.21359999999999</v>
      </c>
      <c r="O302" s="546"/>
      <c r="R302" s="206"/>
    </row>
    <row r="303" spans="1:18" ht="15">
      <c r="A303" s="424">
        <v>163133</v>
      </c>
      <c r="B303" t="str">
        <f t="shared" si="11"/>
        <v>SEVROLL-MASKA DOUBLER II 4,05 M OLIVA</v>
      </c>
      <c r="C303" s="209">
        <f t="shared" si="10"/>
        <v>13.570550000000001</v>
      </c>
      <c r="D303" s="542" t="s">
        <v>3854</v>
      </c>
      <c r="E303" s="542" t="s">
        <v>1088</v>
      </c>
      <c r="F303" s="542" t="s">
        <v>682</v>
      </c>
      <c r="G303" s="542" t="s">
        <v>1688</v>
      </c>
      <c r="H303" s="426">
        <v>390.71231999999998</v>
      </c>
      <c r="I303" s="425">
        <v>13.570550000000001</v>
      </c>
      <c r="J303" s="425">
        <v>46.17</v>
      </c>
      <c r="K303" s="425">
        <v>4426.8812099999996</v>
      </c>
      <c r="L303" s="542" t="s">
        <v>622</v>
      </c>
      <c r="M303" s="423" t="s">
        <v>699</v>
      </c>
      <c r="N303" s="206">
        <v>268.50630000000001</v>
      </c>
      <c r="O303" s="546"/>
      <c r="R303" s="206"/>
    </row>
    <row r="304" spans="1:18" ht="15">
      <c r="A304" s="424">
        <v>349867</v>
      </c>
      <c r="B304" t="str">
        <f t="shared" si="11"/>
        <v/>
      </c>
      <c r="C304" s="209">
        <f t="shared" si="10"/>
        <v>16.648530000000001</v>
      </c>
      <c r="D304" s="542" t="s">
        <v>3907</v>
      </c>
      <c r="E304" s="542" t="s">
        <v>1605</v>
      </c>
      <c r="F304" s="542" t="s">
        <v>84</v>
      </c>
      <c r="G304" s="542" t="s">
        <v>84</v>
      </c>
      <c r="H304" s="426">
        <v>379.053</v>
      </c>
      <c r="I304" s="425">
        <v>16.648530000000001</v>
      </c>
      <c r="J304" s="425">
        <v>57.73</v>
      </c>
      <c r="K304" s="425">
        <v>4072.0856399999998</v>
      </c>
      <c r="L304" s="542" t="s">
        <v>622</v>
      </c>
      <c r="M304" s="423" t="s">
        <v>699</v>
      </c>
      <c r="N304" s="206">
        <v>271.71719999999999</v>
      </c>
      <c r="O304" s="546"/>
      <c r="R304" s="206"/>
    </row>
    <row r="305" spans="1:18" ht="15">
      <c r="A305" s="424">
        <v>349815</v>
      </c>
      <c r="B305" t="str">
        <f t="shared" si="11"/>
        <v>SEVROLL Blue-V spodné vedenie 3m oliva</v>
      </c>
      <c r="C305" s="209">
        <f t="shared" si="10"/>
        <v>16.457789999999999</v>
      </c>
      <c r="D305" s="542" t="s">
        <v>4669</v>
      </c>
      <c r="E305" s="542" t="s">
        <v>1614</v>
      </c>
      <c r="F305" s="542" t="s">
        <v>4670</v>
      </c>
      <c r="G305" s="542" t="s">
        <v>84</v>
      </c>
      <c r="H305" s="426">
        <v>361.03859999999997</v>
      </c>
      <c r="I305" s="425">
        <v>16.457789999999999</v>
      </c>
      <c r="J305" s="425">
        <v>56.46</v>
      </c>
      <c r="K305" s="425">
        <v>3878.56077</v>
      </c>
      <c r="L305" s="542" t="s">
        <v>621</v>
      </c>
      <c r="M305" s="423" t="s">
        <v>699</v>
      </c>
      <c r="N305" s="206">
        <v>271.71719999999999</v>
      </c>
      <c r="O305" s="546"/>
      <c r="R305" s="206"/>
    </row>
    <row r="306" spans="1:18" ht="15">
      <c r="A306" s="424">
        <v>223549</v>
      </c>
      <c r="B306" t="str">
        <f t="shared" si="11"/>
        <v>SEVROLL Libra úch.lišta 18mm 2,7m oliva</v>
      </c>
      <c r="C306" s="209">
        <f t="shared" si="10"/>
        <v>17.13899</v>
      </c>
      <c r="D306" s="542" t="s">
        <v>3544</v>
      </c>
      <c r="E306" s="542" t="s">
        <v>2069</v>
      </c>
      <c r="F306" s="542" t="s">
        <v>3545</v>
      </c>
      <c r="G306" s="542" t="s">
        <v>2070</v>
      </c>
      <c r="H306" s="426">
        <v>376.80119999999999</v>
      </c>
      <c r="I306" s="425">
        <v>17.13899</v>
      </c>
      <c r="J306" s="425">
        <v>45.81</v>
      </c>
      <c r="K306" s="425">
        <v>4047.8950300000001</v>
      </c>
      <c r="L306" s="542" t="s">
        <v>622</v>
      </c>
      <c r="M306" s="423" t="s">
        <v>699</v>
      </c>
      <c r="N306" s="206">
        <v>271.71719999999999</v>
      </c>
      <c r="O306" s="546"/>
      <c r="R306" s="206"/>
    </row>
    <row r="307" spans="1:18" ht="15">
      <c r="A307" s="424">
        <v>89106</v>
      </c>
      <c r="B307" t="str">
        <f t="shared" si="11"/>
        <v>SEVROLL Gemini horné vedenie 1,7m strieborná</v>
      </c>
      <c r="C307" s="209">
        <f t="shared" si="10"/>
        <v>16.077369999999998</v>
      </c>
      <c r="D307" s="542" t="s">
        <v>4566</v>
      </c>
      <c r="E307" s="542" t="s">
        <v>1898</v>
      </c>
      <c r="F307" s="542" t="s">
        <v>4567</v>
      </c>
      <c r="G307" s="542" t="s">
        <v>1899</v>
      </c>
      <c r="H307" s="426">
        <v>412.77440000000001</v>
      </c>
      <c r="I307" s="425">
        <v>16.077369999999998</v>
      </c>
      <c r="J307" s="425">
        <v>53.34</v>
      </c>
      <c r="K307" s="425">
        <v>4676.8508199999997</v>
      </c>
      <c r="L307" s="542" t="s">
        <v>621</v>
      </c>
      <c r="M307" s="423" t="s">
        <v>699</v>
      </c>
      <c r="N307" s="206">
        <v>273.07940000000002</v>
      </c>
      <c r="O307" s="546"/>
      <c r="R307" s="206"/>
    </row>
    <row r="308" spans="1:18" ht="15">
      <c r="A308" s="424">
        <v>224156</v>
      </c>
      <c r="B308" t="str">
        <f t="shared" si="11"/>
        <v>SEVROLL spod.vod.lišta Simple/Blue 2m(10mm)oliva</v>
      </c>
      <c r="C308" s="209">
        <f t="shared" si="10"/>
        <v>16.430540000000001</v>
      </c>
      <c r="D308" s="542" t="s">
        <v>3280</v>
      </c>
      <c r="E308" s="542" t="s">
        <v>3281</v>
      </c>
      <c r="F308" s="542" t="s">
        <v>3283</v>
      </c>
      <c r="G308" s="542" t="s">
        <v>3282</v>
      </c>
      <c r="H308" s="426">
        <v>380.55419999999998</v>
      </c>
      <c r="I308" s="425">
        <v>16.430540000000001</v>
      </c>
      <c r="J308" s="425">
        <v>49.74</v>
      </c>
      <c r="K308" s="425">
        <v>4088.21272</v>
      </c>
      <c r="L308" s="542" t="s">
        <v>622</v>
      </c>
      <c r="M308" s="423" t="s">
        <v>699</v>
      </c>
      <c r="N308" s="206">
        <v>273.21839999999997</v>
      </c>
      <c r="O308" s="546"/>
      <c r="R308" s="206"/>
    </row>
    <row r="309" spans="1:18" ht="15">
      <c r="A309" s="424">
        <v>84386</v>
      </c>
      <c r="B309" t="str">
        <f t="shared" si="11"/>
        <v>SEVROLL Elegant spodné vedenie 2,35m zlatá</v>
      </c>
      <c r="C309" s="209">
        <f t="shared" si="10"/>
        <v>15.11321</v>
      </c>
      <c r="D309" s="542" t="s">
        <v>3827</v>
      </c>
      <c r="E309" s="542" t="s">
        <v>1738</v>
      </c>
      <c r="F309" s="542" t="s">
        <v>3828</v>
      </c>
      <c r="G309" s="542" t="s">
        <v>1739</v>
      </c>
      <c r="H309" s="426">
        <v>405.6576</v>
      </c>
      <c r="I309" s="425">
        <v>15.11321</v>
      </c>
      <c r="J309" s="425">
        <v>55.32</v>
      </c>
      <c r="K309" s="425">
        <v>4596.2154600000003</v>
      </c>
      <c r="L309" s="542" t="s">
        <v>622</v>
      </c>
      <c r="M309" s="423" t="s">
        <v>699</v>
      </c>
      <c r="N309" s="206">
        <v>275.03930000000003</v>
      </c>
      <c r="O309" s="546"/>
      <c r="R309" s="206"/>
    </row>
    <row r="310" spans="1:18" ht="15">
      <c r="A310" s="424">
        <v>163151</v>
      </c>
      <c r="B310" t="str">
        <f t="shared" si="11"/>
        <v>SEVROLL Maxim II maska 4,3m strieborná</v>
      </c>
      <c r="C310" s="209">
        <f t="shared" si="10"/>
        <v>13.257199999999999</v>
      </c>
      <c r="D310" s="542" t="s">
        <v>4383</v>
      </c>
      <c r="E310" s="542" t="s">
        <v>907</v>
      </c>
      <c r="F310" s="542" t="s">
        <v>4384</v>
      </c>
      <c r="G310" s="542" t="s">
        <v>2179</v>
      </c>
      <c r="H310" s="426">
        <v>382.17216000000002</v>
      </c>
      <c r="I310" s="425">
        <v>13.257199999999999</v>
      </c>
      <c r="J310" s="425">
        <v>45.16</v>
      </c>
      <c r="K310" s="425">
        <v>4330.1187900000004</v>
      </c>
      <c r="L310" s="542" t="s">
        <v>621</v>
      </c>
      <c r="M310" s="423" t="s">
        <v>699</v>
      </c>
      <c r="N310" s="206">
        <v>276.34589999999997</v>
      </c>
      <c r="O310" s="546"/>
      <c r="R310" s="206"/>
    </row>
    <row r="311" spans="1:18" ht="15">
      <c r="A311" s="424">
        <v>308628</v>
      </c>
      <c r="B311" t="str">
        <f t="shared" si="11"/>
        <v>SEVROLL uholník 18x36mm 3m oliva</v>
      </c>
      <c r="C311" s="209">
        <f t="shared" si="10"/>
        <v>14.02853</v>
      </c>
      <c r="D311" s="542" t="s">
        <v>3210</v>
      </c>
      <c r="E311" s="542" t="s">
        <v>2606</v>
      </c>
      <c r="F311" s="542" t="s">
        <v>3211</v>
      </c>
      <c r="G311" s="542" t="s">
        <v>2607</v>
      </c>
      <c r="H311" s="426">
        <v>404.23424</v>
      </c>
      <c r="I311" s="425">
        <v>14.02853</v>
      </c>
      <c r="J311" s="425">
        <v>47.77</v>
      </c>
      <c r="K311" s="425">
        <v>4580.0884100000003</v>
      </c>
      <c r="L311" s="542" t="s">
        <v>622</v>
      </c>
      <c r="M311" s="423" t="s">
        <v>699</v>
      </c>
      <c r="N311" s="206">
        <v>277.65249999999997</v>
      </c>
      <c r="O311" s="546"/>
      <c r="R311" s="206"/>
    </row>
    <row r="312" spans="1:18" ht="15">
      <c r="A312" s="429">
        <v>197755</v>
      </c>
      <c r="B312" t="str">
        <f t="shared" si="11"/>
        <v>SEVROLL - HIDE N dolné vedenie 3M OLIVA</v>
      </c>
      <c r="C312" s="209">
        <f t="shared" si="10"/>
        <v>14.631130000000001</v>
      </c>
      <c r="D312" s="542" t="s">
        <v>3606</v>
      </c>
      <c r="E312" s="542" t="s">
        <v>1062</v>
      </c>
      <c r="F312" s="542" t="s">
        <v>1063</v>
      </c>
      <c r="G312" s="542" t="s">
        <v>2809</v>
      </c>
      <c r="H312" s="426">
        <v>424.60608000000002</v>
      </c>
      <c r="I312" s="425">
        <v>14.631130000000001</v>
      </c>
      <c r="J312" s="425">
        <v>48.9</v>
      </c>
      <c r="K312" s="425">
        <v>4773.6132600000001</v>
      </c>
      <c r="L312" s="542" t="s">
        <v>622</v>
      </c>
      <c r="M312" s="430" t="s">
        <v>699</v>
      </c>
      <c r="N312" s="206">
        <v>279.55957999999998</v>
      </c>
      <c r="O312" s="546"/>
      <c r="R312" s="206"/>
    </row>
    <row r="313" spans="1:18" ht="15">
      <c r="A313" s="424">
        <v>84387</v>
      </c>
      <c r="B313" t="str">
        <f t="shared" si="11"/>
        <v>SEVROLL Elegant spodné vedenie 2,35m oliva</v>
      </c>
      <c r="C313" s="209">
        <f t="shared" si="10"/>
        <v>15.11321</v>
      </c>
      <c r="D313" s="542" t="s">
        <v>4631</v>
      </c>
      <c r="E313" s="542" t="s">
        <v>1731</v>
      </c>
      <c r="F313" s="542" t="s">
        <v>4632</v>
      </c>
      <c r="G313" s="542" t="s">
        <v>894</v>
      </c>
      <c r="H313" s="426">
        <v>405.6576</v>
      </c>
      <c r="I313" s="425">
        <v>15.11321</v>
      </c>
      <c r="J313" s="425">
        <v>55.32</v>
      </c>
      <c r="K313" s="425">
        <v>4596.2154600000003</v>
      </c>
      <c r="L313" s="542" t="s">
        <v>621</v>
      </c>
      <c r="M313" s="423" t="s">
        <v>699</v>
      </c>
      <c r="N313" s="206">
        <v>280.26569999999998</v>
      </c>
      <c r="O313" s="546"/>
      <c r="R313" s="206"/>
    </row>
    <row r="314" spans="1:18" ht="15">
      <c r="A314" s="424">
        <v>349794</v>
      </c>
      <c r="B314" t="str">
        <f t="shared" si="11"/>
        <v>SEVROLL Era úchytová lišta 18mm 2,70m oliva</v>
      </c>
      <c r="C314" s="209">
        <f t="shared" si="10"/>
        <v>17.847439999999999</v>
      </c>
      <c r="D314" s="542" t="s">
        <v>4610</v>
      </c>
      <c r="E314" s="542" t="s">
        <v>1780</v>
      </c>
      <c r="F314" s="542" t="s">
        <v>4610</v>
      </c>
      <c r="G314" s="542" t="s">
        <v>84</v>
      </c>
      <c r="H314" s="426">
        <v>391.81319999999999</v>
      </c>
      <c r="I314" s="425">
        <v>17.847439999999999</v>
      </c>
      <c r="J314" s="425">
        <v>43.9</v>
      </c>
      <c r="K314" s="425">
        <v>4209.1657400000004</v>
      </c>
      <c r="L314" s="542" t="s">
        <v>621</v>
      </c>
      <c r="M314" s="423" t="s">
        <v>699</v>
      </c>
      <c r="N314" s="206">
        <v>282.22559999999999</v>
      </c>
      <c r="O314" s="546"/>
      <c r="R314" s="206"/>
    </row>
    <row r="315" spans="1:18" ht="15">
      <c r="A315" s="424">
        <v>197743</v>
      </c>
      <c r="B315" t="str">
        <f t="shared" si="11"/>
        <v>SEVROLL Optima 16 úchytová lišta 2,4m strieb</v>
      </c>
      <c r="C315" s="209" t="e">
        <f t="shared" si="10"/>
        <v>#N/A</v>
      </c>
      <c r="D315" s="542" t="s">
        <v>3430</v>
      </c>
      <c r="E315" s="542" t="s">
        <v>916</v>
      </c>
      <c r="F315" s="542" t="s">
        <v>3431</v>
      </c>
      <c r="G315" s="542" t="s">
        <v>2270</v>
      </c>
      <c r="H315" s="426">
        <v>372.92032</v>
      </c>
      <c r="I315" s="425" t="e">
        <v>#N/A</v>
      </c>
      <c r="J315" s="425">
        <v>47.326720000000002</v>
      </c>
      <c r="K315" s="425">
        <v>4225.2928199999997</v>
      </c>
      <c r="L315" s="542" t="s">
        <v>622</v>
      </c>
      <c r="M315" s="423" t="s">
        <v>699</v>
      </c>
      <c r="N315" s="206">
        <v>282.22559999999999</v>
      </c>
      <c r="O315" s="546"/>
      <c r="R315" s="206"/>
    </row>
    <row r="316" spans="1:18" ht="15">
      <c r="A316" s="424">
        <v>197744</v>
      </c>
      <c r="B316" t="str">
        <f t="shared" si="11"/>
        <v>SEVROLL Optima 18 úchytová lišta 2,4m strieb</v>
      </c>
      <c r="C316" s="209">
        <f t="shared" si="10"/>
        <v>14.221360000000001</v>
      </c>
      <c r="D316" s="542" t="s">
        <v>3428</v>
      </c>
      <c r="E316" s="542" t="s">
        <v>2271</v>
      </c>
      <c r="F316" s="542" t="s">
        <v>3429</v>
      </c>
      <c r="G316" s="542" t="s">
        <v>2272</v>
      </c>
      <c r="H316" s="426">
        <v>409.92768000000001</v>
      </c>
      <c r="I316" s="425">
        <v>14.221360000000001</v>
      </c>
      <c r="J316" s="425">
        <v>48.44</v>
      </c>
      <c r="K316" s="425">
        <v>4644.5966900000003</v>
      </c>
      <c r="L316" s="542" t="s">
        <v>622</v>
      </c>
      <c r="M316" s="423" t="s">
        <v>699</v>
      </c>
      <c r="N316" s="206">
        <v>282.22559999999999</v>
      </c>
      <c r="O316" s="546"/>
      <c r="R316" s="206"/>
    </row>
    <row r="317" spans="1:18" ht="15">
      <c r="A317" s="424">
        <v>227067</v>
      </c>
      <c r="B317" t="str">
        <f t="shared" si="11"/>
        <v>SEVROLL tlmič dorazu 10/18mm 14-25kg ľavý</v>
      </c>
      <c r="C317" s="209">
        <f t="shared" si="10"/>
        <v>13.2813</v>
      </c>
      <c r="D317" s="542" t="s">
        <v>3991</v>
      </c>
      <c r="E317" s="542" t="s">
        <v>1135</v>
      </c>
      <c r="F317" s="542" t="s">
        <v>3992</v>
      </c>
      <c r="G317" s="542" t="s">
        <v>2563</v>
      </c>
      <c r="H317" s="426">
        <v>356.55167999999998</v>
      </c>
      <c r="I317" s="425">
        <v>13.2813</v>
      </c>
      <c r="J317" s="425">
        <v>45.89</v>
      </c>
      <c r="K317" s="425">
        <v>4039.83149</v>
      </c>
      <c r="L317" s="542" t="s">
        <v>1025</v>
      </c>
      <c r="M317" s="423" t="s">
        <v>699</v>
      </c>
      <c r="N317" s="206">
        <v>282.87889999999999</v>
      </c>
      <c r="O317" s="546"/>
      <c r="R317" s="206"/>
    </row>
    <row r="318" spans="1:18" ht="15">
      <c r="A318" s="424">
        <v>227068</v>
      </c>
      <c r="B318" t="str">
        <f t="shared" si="11"/>
        <v>SEVROLL tlmič dorazu 10/18mm 14-25kg pravý</v>
      </c>
      <c r="C318" s="209">
        <f t="shared" si="10"/>
        <v>13.2813</v>
      </c>
      <c r="D318" s="542" t="s">
        <v>3989</v>
      </c>
      <c r="E318" s="542" t="s">
        <v>1136</v>
      </c>
      <c r="F318" s="542" t="s">
        <v>3990</v>
      </c>
      <c r="G318" s="542" t="s">
        <v>2564</v>
      </c>
      <c r="H318" s="426">
        <v>356.55167999999998</v>
      </c>
      <c r="I318" s="425">
        <v>13.2813</v>
      </c>
      <c r="J318" s="425">
        <v>45.89</v>
      </c>
      <c r="K318" s="425">
        <v>4039.83149</v>
      </c>
      <c r="L318" s="542" t="s">
        <v>1025</v>
      </c>
      <c r="M318" s="423" t="s">
        <v>699</v>
      </c>
      <c r="N318" s="206">
        <v>282.87889999999999</v>
      </c>
      <c r="O318" s="546"/>
      <c r="R318" s="206"/>
    </row>
    <row r="319" spans="1:18" ht="15">
      <c r="A319" s="424">
        <v>227069</v>
      </c>
      <c r="B319" t="str">
        <f t="shared" si="11"/>
        <v>SEVROLL tlmič dorazu 10/18mm 25-50kg ľavý</v>
      </c>
      <c r="C319" s="209">
        <f t="shared" si="10"/>
        <v>13.2813</v>
      </c>
      <c r="D319" s="542" t="s">
        <v>3987</v>
      </c>
      <c r="E319" s="542" t="s">
        <v>1137</v>
      </c>
      <c r="F319" s="542" t="s">
        <v>3988</v>
      </c>
      <c r="G319" s="542" t="s">
        <v>2565</v>
      </c>
      <c r="H319" s="426">
        <v>356.55167999999998</v>
      </c>
      <c r="I319" s="425">
        <v>13.2813</v>
      </c>
      <c r="J319" s="425">
        <v>45.89</v>
      </c>
      <c r="K319" s="425">
        <v>4039.83149</v>
      </c>
      <c r="L319" s="542" t="s">
        <v>1025</v>
      </c>
      <c r="M319" s="423" t="s">
        <v>699</v>
      </c>
      <c r="N319" s="206">
        <v>282.87889999999999</v>
      </c>
      <c r="O319" s="546"/>
      <c r="R319" s="206"/>
    </row>
    <row r="320" spans="1:18" ht="15">
      <c r="A320" s="424">
        <v>227070</v>
      </c>
      <c r="B320" t="str">
        <f t="shared" si="11"/>
        <v>SEVROLL tlmič dorazu 10/18mm 25-50kg pravý</v>
      </c>
      <c r="C320" s="209">
        <f t="shared" si="10"/>
        <v>13.2813</v>
      </c>
      <c r="D320" s="542" t="s">
        <v>4166</v>
      </c>
      <c r="E320" s="542" t="s">
        <v>1138</v>
      </c>
      <c r="F320" s="542" t="s">
        <v>4167</v>
      </c>
      <c r="G320" s="542" t="s">
        <v>2566</v>
      </c>
      <c r="H320" s="426">
        <v>356.55167999999998</v>
      </c>
      <c r="I320" s="425">
        <v>13.2813</v>
      </c>
      <c r="J320" s="425">
        <v>45.89</v>
      </c>
      <c r="K320" s="425">
        <v>4039.83149</v>
      </c>
      <c r="L320" s="542" t="s">
        <v>621</v>
      </c>
      <c r="M320" s="423" t="s">
        <v>699</v>
      </c>
      <c r="N320" s="206">
        <v>282.87889999999999</v>
      </c>
      <c r="O320" s="546"/>
      <c r="R320" s="206"/>
    </row>
    <row r="321" spans="1:18" ht="15">
      <c r="A321" s="424">
        <v>224011</v>
      </c>
      <c r="B321" t="str">
        <f t="shared" si="11"/>
        <v>SEVROLL Simple horné vedenie 2m strieborná</v>
      </c>
      <c r="C321" s="209">
        <f t="shared" si="10"/>
        <v>17.792940000000002</v>
      </c>
      <c r="D321" s="542" t="s">
        <v>3059</v>
      </c>
      <c r="E321" s="542" t="s">
        <v>2378</v>
      </c>
      <c r="F321" s="542" t="s">
        <v>3060</v>
      </c>
      <c r="G321" s="542" t="s">
        <v>2379</v>
      </c>
      <c r="H321" s="426">
        <v>385.05779999999999</v>
      </c>
      <c r="I321" s="425">
        <v>17.792940000000002</v>
      </c>
      <c r="J321" s="425">
        <v>46.41</v>
      </c>
      <c r="K321" s="425">
        <v>4136.5939200000003</v>
      </c>
      <c r="L321" s="542" t="s">
        <v>622</v>
      </c>
      <c r="M321" s="423" t="s">
        <v>699</v>
      </c>
      <c r="N321" s="206">
        <v>282.97620000000001</v>
      </c>
      <c r="O321" s="546"/>
      <c r="R321" s="206"/>
    </row>
    <row r="322" spans="1:18" ht="15">
      <c r="A322" s="429">
        <v>211069</v>
      </c>
      <c r="B322" t="str">
        <f t="shared" si="11"/>
        <v>SEVROLL Exclusive horné vedenie 1,2m oliva</v>
      </c>
      <c r="C322" s="209">
        <f t="shared" si="10"/>
        <v>14.99269</v>
      </c>
      <c r="D322" s="542" t="s">
        <v>3797</v>
      </c>
      <c r="E322" s="542" t="s">
        <v>923</v>
      </c>
      <c r="F322" s="542" t="s">
        <v>3798</v>
      </c>
      <c r="G322" s="542" t="s">
        <v>2848</v>
      </c>
      <c r="H322" s="426">
        <v>435.36468000000002</v>
      </c>
      <c r="I322" s="425">
        <v>14.99269</v>
      </c>
      <c r="J322" s="425">
        <v>50.97</v>
      </c>
      <c r="K322" s="425">
        <v>4894.5663100000002</v>
      </c>
      <c r="L322" s="542" t="s">
        <v>622</v>
      </c>
      <c r="M322" s="430" t="s">
        <v>699</v>
      </c>
      <c r="N322" s="206">
        <v>287.13229999999999</v>
      </c>
      <c r="O322" s="546"/>
      <c r="R322" s="206"/>
    </row>
    <row r="323" spans="1:18" ht="15">
      <c r="A323" s="429">
        <v>358314</v>
      </c>
      <c r="B323" t="str">
        <f t="shared" si="11"/>
        <v/>
      </c>
      <c r="C323" s="209" t="e">
        <f t="shared" ref="C323:C386" si="12">IF($A$2=1,H323,IF($A$2=2,I323,IF($A$2=3,J323,IF($A$2=4,K323,"zadat jazyk"))))</f>
        <v>#N/A</v>
      </c>
      <c r="D323" s="542" t="s">
        <v>2731</v>
      </c>
      <c r="E323" s="542" t="s">
        <v>2750</v>
      </c>
      <c r="F323" s="542" t="s">
        <v>84</v>
      </c>
      <c r="G323" s="542" t="s">
        <v>84</v>
      </c>
      <c r="H323" s="426">
        <v>0</v>
      </c>
      <c r="I323" s="425" t="e">
        <v>#N/A</v>
      </c>
      <c r="J323" s="425">
        <v>0</v>
      </c>
      <c r="K323" s="425">
        <v>0</v>
      </c>
      <c r="L323" s="542" t="s">
        <v>622</v>
      </c>
      <c r="M323" s="430" t="s">
        <v>699</v>
      </c>
      <c r="N323" s="206">
        <v>289.02548000000002</v>
      </c>
      <c r="O323" s="546"/>
      <c r="R323" s="206"/>
    </row>
    <row r="324" spans="1:18" ht="15">
      <c r="A324" s="424">
        <v>216744</v>
      </c>
      <c r="B324" t="str">
        <f t="shared" si="11"/>
        <v>SEVROLL Comfort spodné vedenie 1,7m oliva</v>
      </c>
      <c r="C324" s="209">
        <f t="shared" si="12"/>
        <v>15.691700000000001</v>
      </c>
      <c r="D324" s="542" t="s">
        <v>3873</v>
      </c>
      <c r="E324" s="542" t="s">
        <v>1158</v>
      </c>
      <c r="F324" s="542" t="s">
        <v>3874</v>
      </c>
      <c r="G324" s="542" t="s">
        <v>1659</v>
      </c>
      <c r="H324" s="426">
        <v>421.31455999999997</v>
      </c>
      <c r="I324" s="425">
        <v>15.691700000000001</v>
      </c>
      <c r="J324" s="425">
        <v>64.510000000000005</v>
      </c>
      <c r="K324" s="425">
        <v>4773.6132600000001</v>
      </c>
      <c r="L324" s="542" t="s">
        <v>622</v>
      </c>
      <c r="M324" s="423" t="s">
        <v>699</v>
      </c>
      <c r="N324" s="206">
        <v>289.4119</v>
      </c>
      <c r="O324" s="546"/>
      <c r="R324" s="206"/>
    </row>
    <row r="325" spans="1:18" ht="15">
      <c r="A325" s="424">
        <v>131030</v>
      </c>
      <c r="B325" t="str">
        <f t="shared" si="11"/>
        <v>SEVROLL - SPOD.VEDENIE COMFORT 1,7M STR.</v>
      </c>
      <c r="C325" s="209">
        <f t="shared" si="12"/>
        <v>15.691700000000001</v>
      </c>
      <c r="D325" s="542" t="s">
        <v>3872</v>
      </c>
      <c r="E325" s="542" t="s">
        <v>1155</v>
      </c>
      <c r="F325" s="542" t="s">
        <v>672</v>
      </c>
      <c r="G325" s="542" t="s">
        <v>1660</v>
      </c>
      <c r="H325" s="426">
        <v>421.31455999999997</v>
      </c>
      <c r="I325" s="425">
        <v>15.691700000000001</v>
      </c>
      <c r="J325" s="425">
        <v>58.61</v>
      </c>
      <c r="K325" s="425">
        <v>4773.6132600000001</v>
      </c>
      <c r="L325" s="542" t="s">
        <v>622</v>
      </c>
      <c r="M325" s="423" t="s">
        <v>699</v>
      </c>
      <c r="N325" s="206">
        <v>289.4119</v>
      </c>
      <c r="O325" s="546"/>
      <c r="R325" s="206"/>
    </row>
    <row r="326" spans="1:18" ht="15">
      <c r="A326" s="424">
        <v>222789</v>
      </c>
      <c r="B326" t="str">
        <f t="shared" si="11"/>
        <v>SEVROLL Alfa II úch.lišta 18mm 2,7m oliva</v>
      </c>
      <c r="C326" s="209">
        <f t="shared" si="12"/>
        <v>15.57118</v>
      </c>
      <c r="D326" s="542" t="s">
        <v>4681</v>
      </c>
      <c r="E326" s="542" t="s">
        <v>1397</v>
      </c>
      <c r="F326" s="542" t="s">
        <v>4682</v>
      </c>
      <c r="G326" s="542" t="s">
        <v>1574</v>
      </c>
      <c r="H326" s="426">
        <v>410.63936000000001</v>
      </c>
      <c r="I326" s="425">
        <v>15.57118</v>
      </c>
      <c r="J326" s="425">
        <v>51.38</v>
      </c>
      <c r="K326" s="425">
        <v>4652.6602300000004</v>
      </c>
      <c r="L326" s="542" t="s">
        <v>621</v>
      </c>
      <c r="M326" s="423" t="s">
        <v>699</v>
      </c>
      <c r="N326" s="206">
        <v>290.71850000000001</v>
      </c>
      <c r="O326" s="546"/>
      <c r="R326" s="206"/>
    </row>
    <row r="327" spans="1:18" ht="15">
      <c r="A327" s="424">
        <v>98055</v>
      </c>
      <c r="B327" t="str">
        <f t="shared" si="11"/>
        <v>SEVROLL Maxim spojovacia lišta H25 1,8m str.</v>
      </c>
      <c r="C327" s="209">
        <f t="shared" si="12"/>
        <v>14.67934</v>
      </c>
      <c r="D327" s="542" t="s">
        <v>3458</v>
      </c>
      <c r="E327" s="542" t="s">
        <v>1291</v>
      </c>
      <c r="F327" s="542" t="s">
        <v>3459</v>
      </c>
      <c r="G327" s="542" t="s">
        <v>2221</v>
      </c>
      <c r="H327" s="426">
        <v>422.73791999999997</v>
      </c>
      <c r="I327" s="425">
        <v>14.67934</v>
      </c>
      <c r="J327" s="425">
        <v>49.96</v>
      </c>
      <c r="K327" s="425">
        <v>4789.7403299999996</v>
      </c>
      <c r="L327" s="542" t="s">
        <v>622</v>
      </c>
      <c r="M327" s="423" t="s">
        <v>699</v>
      </c>
      <c r="N327" s="206">
        <v>290.71850000000001</v>
      </c>
      <c r="O327" s="546"/>
      <c r="R327" s="206"/>
    </row>
    <row r="328" spans="1:18" ht="15">
      <c r="A328" s="424">
        <v>234760</v>
      </c>
      <c r="B328" t="str">
        <f t="shared" si="11"/>
        <v>SEV-spojovacia lišta H16 3m oliva</v>
      </c>
      <c r="C328" s="209">
        <f t="shared" si="12"/>
        <v>15.788119999999999</v>
      </c>
      <c r="D328" s="542" t="s">
        <v>1128</v>
      </c>
      <c r="E328" s="542" t="s">
        <v>1129</v>
      </c>
      <c r="F328" s="542" t="s">
        <v>1481</v>
      </c>
      <c r="G328" s="542" t="s">
        <v>3150</v>
      </c>
      <c r="H328" s="426">
        <v>423.44959999999998</v>
      </c>
      <c r="I328" s="425">
        <v>15.788119999999999</v>
      </c>
      <c r="J328" s="425">
        <v>54.17</v>
      </c>
      <c r="K328" s="425">
        <v>4797.8038699999997</v>
      </c>
      <c r="L328" s="542" t="s">
        <v>622</v>
      </c>
      <c r="M328" s="423" t="s">
        <v>699</v>
      </c>
      <c r="N328" s="206">
        <v>291.37180000000001</v>
      </c>
      <c r="O328" s="546"/>
      <c r="R328" s="206"/>
    </row>
    <row r="329" spans="1:18" ht="15">
      <c r="A329" s="458">
        <v>89257</v>
      </c>
      <c r="B329" t="str">
        <f t="shared" si="11"/>
        <v>SEVROLL-153 SPOJ.LIŠTA """"H10" 3M ZLATÁ</v>
      </c>
      <c r="C329" s="209">
        <f t="shared" si="12"/>
        <v>17.017420000000001</v>
      </c>
      <c r="D329" s="542" t="s">
        <v>3261</v>
      </c>
      <c r="E329" s="542" t="s">
        <v>2510</v>
      </c>
      <c r="F329" s="542" t="s">
        <v>88</v>
      </c>
      <c r="G329" s="542" t="s">
        <v>2511</v>
      </c>
      <c r="H329" s="426">
        <v>423.44959999999998</v>
      </c>
      <c r="I329" s="425">
        <v>17.017420000000001</v>
      </c>
      <c r="J329" s="425">
        <v>58.33</v>
      </c>
      <c r="K329" s="425">
        <v>4797.8038699999997</v>
      </c>
      <c r="L329" s="542" t="s">
        <v>622</v>
      </c>
      <c r="M329" s="459" t="s">
        <v>699</v>
      </c>
      <c r="N329" s="206">
        <v>291.37180000000001</v>
      </c>
      <c r="O329" s="546"/>
      <c r="R329" s="206"/>
    </row>
    <row r="330" spans="1:18" ht="15">
      <c r="A330" s="424">
        <v>130609</v>
      </c>
      <c r="B330" t="str">
        <f t="shared" si="11"/>
        <v>SEVROLL Price 02 úchytová lišta 2,7 m strieb</v>
      </c>
      <c r="C330" s="209">
        <f t="shared" si="12"/>
        <v>15.40246</v>
      </c>
      <c r="D330" s="542" t="s">
        <v>3386</v>
      </c>
      <c r="E330" s="542" t="s">
        <v>2322</v>
      </c>
      <c r="F330" s="542" t="s">
        <v>3387</v>
      </c>
      <c r="G330" s="542" t="s">
        <v>2323</v>
      </c>
      <c r="H330" s="426">
        <v>447.55775999999997</v>
      </c>
      <c r="I330" s="425">
        <v>15.40246</v>
      </c>
      <c r="J330" s="425">
        <v>52.19</v>
      </c>
      <c r="K330" s="425">
        <v>5031.6464100000003</v>
      </c>
      <c r="L330" s="542" t="s">
        <v>622</v>
      </c>
      <c r="M330" s="423" t="s">
        <v>699</v>
      </c>
      <c r="N330" s="206">
        <v>296.59820000000002</v>
      </c>
      <c r="O330" s="546"/>
      <c r="R330" s="206"/>
    </row>
    <row r="331" spans="1:18" ht="15">
      <c r="A331" s="424">
        <v>308653</v>
      </c>
      <c r="B331" t="str">
        <f t="shared" si="11"/>
        <v>SEVROLL Gemini spodné vedenie 2,35m oliva</v>
      </c>
      <c r="C331" s="209">
        <f t="shared" si="12"/>
        <v>15.35425</v>
      </c>
      <c r="D331" s="542" t="s">
        <v>4534</v>
      </c>
      <c r="E331" s="542" t="s">
        <v>4535</v>
      </c>
      <c r="F331" s="542" t="s">
        <v>4536</v>
      </c>
      <c r="G331" s="542" t="s">
        <v>1965</v>
      </c>
      <c r="H331" s="426">
        <v>412.06272000000001</v>
      </c>
      <c r="I331" s="425">
        <v>15.35425</v>
      </c>
      <c r="J331" s="425">
        <v>50.62</v>
      </c>
      <c r="K331" s="425">
        <v>4668.7872799999996</v>
      </c>
      <c r="L331" s="542" t="s">
        <v>621</v>
      </c>
      <c r="M331" s="423" t="s">
        <v>699</v>
      </c>
      <c r="N331" s="206">
        <v>297.25150000000002</v>
      </c>
      <c r="O331" s="546"/>
      <c r="R331" s="206"/>
    </row>
    <row r="332" spans="1:18" ht="15">
      <c r="A332" s="424">
        <v>224020</v>
      </c>
      <c r="B332" t="str">
        <f t="shared" si="11"/>
        <v>SEVROLL Simple spodné vedenie 4m strieborné</v>
      </c>
      <c r="C332" s="209">
        <f t="shared" si="12"/>
        <v>18.337900000000001</v>
      </c>
      <c r="D332" s="542" t="s">
        <v>3045</v>
      </c>
      <c r="E332" s="542" t="s">
        <v>2411</v>
      </c>
      <c r="F332" s="542" t="s">
        <v>3046</v>
      </c>
      <c r="G332" s="542" t="s">
        <v>2412</v>
      </c>
      <c r="H332" s="426">
        <v>406.8252</v>
      </c>
      <c r="I332" s="425">
        <v>18.337900000000001</v>
      </c>
      <c r="J332" s="425">
        <v>49.91</v>
      </c>
      <c r="K332" s="425">
        <v>4370.4364599999999</v>
      </c>
      <c r="L332" s="542" t="s">
        <v>622</v>
      </c>
      <c r="M332" s="423" t="s">
        <v>699</v>
      </c>
      <c r="N332" s="206">
        <v>299.48939999999999</v>
      </c>
      <c r="O332" s="546"/>
      <c r="R332" s="206"/>
    </row>
    <row r="333" spans="1:18" ht="15">
      <c r="A333" s="424">
        <v>222787</v>
      </c>
      <c r="B333" t="str">
        <f t="shared" si="11"/>
        <v>SEVROLL Alfa II úch.lišta 18mm 2,7m zlatá</v>
      </c>
      <c r="C333" s="209">
        <f t="shared" si="12"/>
        <v>16.029160000000001</v>
      </c>
      <c r="D333" s="542" t="s">
        <v>3929</v>
      </c>
      <c r="E333" s="542" t="s">
        <v>1152</v>
      </c>
      <c r="F333" s="542" t="s">
        <v>3930</v>
      </c>
      <c r="G333" s="542" t="s">
        <v>1576</v>
      </c>
      <c r="H333" s="426">
        <v>422.73791999999997</v>
      </c>
      <c r="I333" s="425">
        <v>16.029160000000001</v>
      </c>
      <c r="J333" s="425">
        <v>51.38</v>
      </c>
      <c r="K333" s="425">
        <v>4789.7403299999996</v>
      </c>
      <c r="L333" s="542" t="s">
        <v>622</v>
      </c>
      <c r="M333" s="423" t="s">
        <v>699</v>
      </c>
      <c r="N333" s="206">
        <v>299.86470000000003</v>
      </c>
      <c r="O333" s="546"/>
      <c r="R333" s="206"/>
    </row>
    <row r="334" spans="1:18" ht="15">
      <c r="A334" s="424">
        <v>346122</v>
      </c>
      <c r="B334" t="str">
        <f t="shared" si="11"/>
        <v/>
      </c>
      <c r="C334" s="209">
        <f t="shared" si="12"/>
        <v>15.932740000000001</v>
      </c>
      <c r="D334" s="542" t="s">
        <v>3512</v>
      </c>
      <c r="E334" s="542" t="s">
        <v>2135</v>
      </c>
      <c r="F334" s="542" t="s">
        <v>84</v>
      </c>
      <c r="G334" s="542" t="s">
        <v>3513</v>
      </c>
      <c r="H334" s="426">
        <v>440.52992</v>
      </c>
      <c r="I334" s="425">
        <v>15.932740000000001</v>
      </c>
      <c r="J334" s="425">
        <v>55.48</v>
      </c>
      <c r="K334" s="425">
        <v>4991.3287200000004</v>
      </c>
      <c r="L334" s="542" t="s">
        <v>622</v>
      </c>
      <c r="M334" s="423" t="s">
        <v>699</v>
      </c>
      <c r="N334" s="206">
        <v>303.13119999999998</v>
      </c>
      <c r="O334" s="546"/>
      <c r="R334" s="206"/>
    </row>
    <row r="335" spans="1:18" ht="15">
      <c r="A335" s="424">
        <v>346120</v>
      </c>
      <c r="B335" t="str">
        <f t="shared" si="11"/>
        <v/>
      </c>
      <c r="C335" s="209">
        <f t="shared" si="12"/>
        <v>15.932740000000001</v>
      </c>
      <c r="D335" s="542" t="s">
        <v>3510</v>
      </c>
      <c r="E335" s="542" t="s">
        <v>2137</v>
      </c>
      <c r="F335" s="542" t="s">
        <v>84</v>
      </c>
      <c r="G335" s="542" t="s">
        <v>3511</v>
      </c>
      <c r="H335" s="426">
        <v>440.52992</v>
      </c>
      <c r="I335" s="425">
        <v>15.932740000000001</v>
      </c>
      <c r="J335" s="425">
        <v>55.48</v>
      </c>
      <c r="K335" s="425">
        <v>4991.3287200000004</v>
      </c>
      <c r="L335" s="542" t="s">
        <v>622</v>
      </c>
      <c r="M335" s="423" t="s">
        <v>699</v>
      </c>
      <c r="N335" s="206">
        <v>303.13119999999998</v>
      </c>
      <c r="O335" s="546"/>
      <c r="R335" s="206"/>
    </row>
    <row r="336" spans="1:18" ht="15">
      <c r="A336" s="424">
        <v>346121</v>
      </c>
      <c r="B336" t="str">
        <f t="shared" si="11"/>
        <v/>
      </c>
      <c r="C336" s="209">
        <f t="shared" si="12"/>
        <v>15.932740000000001</v>
      </c>
      <c r="D336" s="542" t="s">
        <v>3508</v>
      </c>
      <c r="E336" s="542" t="s">
        <v>2138</v>
      </c>
      <c r="F336" s="542" t="s">
        <v>84</v>
      </c>
      <c r="G336" s="542" t="s">
        <v>3509</v>
      </c>
      <c r="H336" s="426">
        <v>440.52992</v>
      </c>
      <c r="I336" s="425">
        <v>15.932740000000001</v>
      </c>
      <c r="J336" s="425">
        <v>55.48</v>
      </c>
      <c r="K336" s="425">
        <v>4991.3287200000004</v>
      </c>
      <c r="L336" s="542" t="s">
        <v>622</v>
      </c>
      <c r="M336" s="423" t="s">
        <v>699</v>
      </c>
      <c r="N336" s="206">
        <v>303.13119999999998</v>
      </c>
      <c r="O336" s="546"/>
      <c r="R336" s="206"/>
    </row>
    <row r="337" spans="1:18" ht="15">
      <c r="A337" s="424">
        <v>238029</v>
      </c>
      <c r="B337" t="str">
        <f t="shared" si="11"/>
        <v>SEVROLL Maxim II maska 4,3m oliva</v>
      </c>
      <c r="C337" s="209">
        <f t="shared" si="12"/>
        <v>15.306039999999999</v>
      </c>
      <c r="D337" s="542" t="s">
        <v>3487</v>
      </c>
      <c r="E337" s="542" t="s">
        <v>1410</v>
      </c>
      <c r="F337" s="542" t="s">
        <v>3487</v>
      </c>
      <c r="G337" s="542" t="s">
        <v>2178</v>
      </c>
      <c r="H337" s="426">
        <v>440.52992</v>
      </c>
      <c r="I337" s="425">
        <v>15.306039999999999</v>
      </c>
      <c r="J337" s="425">
        <v>52.06</v>
      </c>
      <c r="K337" s="425">
        <v>4991.3287200000004</v>
      </c>
      <c r="L337" s="542" t="s">
        <v>622</v>
      </c>
      <c r="M337" s="423" t="s">
        <v>699</v>
      </c>
      <c r="N337" s="206">
        <v>303.13119999999998</v>
      </c>
      <c r="O337" s="546"/>
      <c r="R337" s="206"/>
    </row>
    <row r="338" spans="1:18" ht="15">
      <c r="A338" s="424">
        <v>89237</v>
      </c>
      <c r="B338" t="str">
        <f t="shared" si="11"/>
        <v>SEVROLL-153 SPOJ.LIŠTA "H 10"3M OLIVOVÁ</v>
      </c>
      <c r="C338" s="209">
        <f t="shared" si="12"/>
        <v>17.017420000000001</v>
      </c>
      <c r="D338" s="542" t="s">
        <v>4210</v>
      </c>
      <c r="E338" s="542" t="s">
        <v>270</v>
      </c>
      <c r="F338" s="542" t="s">
        <v>625</v>
      </c>
      <c r="G338" s="542" t="s">
        <v>2504</v>
      </c>
      <c r="H338" s="426">
        <v>423.44959999999998</v>
      </c>
      <c r="I338" s="425">
        <v>17.017420000000001</v>
      </c>
      <c r="J338" s="425">
        <v>58.33</v>
      </c>
      <c r="K338" s="425">
        <v>4797.8038699999997</v>
      </c>
      <c r="L338" s="542" t="s">
        <v>621</v>
      </c>
      <c r="M338" s="423" t="s">
        <v>699</v>
      </c>
      <c r="N338" s="206">
        <v>305.74439999999998</v>
      </c>
      <c r="O338" s="546"/>
      <c r="R338" s="206"/>
    </row>
    <row r="339" spans="1:18" ht="15">
      <c r="A339" s="424">
        <v>89236</v>
      </c>
      <c r="B339" t="str">
        <f t="shared" si="11"/>
        <v>SEVROLL- SPOJ.LIŠTA "H10" 3M STR.</v>
      </c>
      <c r="C339" s="209">
        <f t="shared" si="12"/>
        <v>17.52046</v>
      </c>
      <c r="D339" s="542" t="s">
        <v>4207</v>
      </c>
      <c r="E339" s="542" t="s">
        <v>854</v>
      </c>
      <c r="F339" s="542" t="s">
        <v>855</v>
      </c>
      <c r="G339" s="542" t="s">
        <v>2509</v>
      </c>
      <c r="H339" s="426">
        <v>423.44959999999998</v>
      </c>
      <c r="I339" s="425">
        <v>17.52046</v>
      </c>
      <c r="J339" s="425">
        <v>53.04</v>
      </c>
      <c r="K339" s="425">
        <v>4797.8038699999997</v>
      </c>
      <c r="L339" s="542" t="s">
        <v>621</v>
      </c>
      <c r="M339" s="423" t="s">
        <v>699</v>
      </c>
      <c r="N339" s="206">
        <v>305.74439999999998</v>
      </c>
      <c r="O339" s="546"/>
      <c r="R339" s="206"/>
    </row>
    <row r="340" spans="1:18" ht="15">
      <c r="A340" s="424">
        <v>89236</v>
      </c>
      <c r="B340" t="str">
        <f t="shared" si="11"/>
        <v>SEVROLL- SPOJ.LIŠTA "H10" 3M STR.</v>
      </c>
      <c r="C340" s="209">
        <f t="shared" si="12"/>
        <v>17.52046</v>
      </c>
      <c r="D340" s="542" t="s">
        <v>4207</v>
      </c>
      <c r="E340" s="542" t="s">
        <v>854</v>
      </c>
      <c r="F340" s="542" t="s">
        <v>855</v>
      </c>
      <c r="G340" s="542" t="s">
        <v>2509</v>
      </c>
      <c r="H340" s="426">
        <v>423.44959999999998</v>
      </c>
      <c r="I340" s="425">
        <v>17.52046</v>
      </c>
      <c r="J340" s="425">
        <v>53.04</v>
      </c>
      <c r="K340" s="425">
        <v>4797.8038699999997</v>
      </c>
      <c r="L340" s="542" t="s">
        <v>621</v>
      </c>
      <c r="M340" s="423" t="s">
        <v>699</v>
      </c>
      <c r="N340" s="206">
        <v>305.74439999999998</v>
      </c>
      <c r="O340" s="546"/>
      <c r="R340" s="206"/>
    </row>
    <row r="341" spans="1:18" ht="15">
      <c r="A341" s="424">
        <v>163106</v>
      </c>
      <c r="B341" t="str">
        <f t="shared" si="11"/>
        <v>SEVROLL Doubler II spodné vedenie 1,7m strie</v>
      </c>
      <c r="C341" s="209">
        <f t="shared" si="12"/>
        <v>15.83633</v>
      </c>
      <c r="D341" s="542" t="s">
        <v>3848</v>
      </c>
      <c r="E341" s="542" t="s">
        <v>1694</v>
      </c>
      <c r="F341" s="542" t="s">
        <v>3849</v>
      </c>
      <c r="G341" s="542" t="s">
        <v>1695</v>
      </c>
      <c r="H341" s="426">
        <v>424.87295999999998</v>
      </c>
      <c r="I341" s="425">
        <v>15.83633</v>
      </c>
      <c r="J341" s="425">
        <v>54.67</v>
      </c>
      <c r="K341" s="425">
        <v>4813.9309499999999</v>
      </c>
      <c r="L341" s="542" t="s">
        <v>622</v>
      </c>
      <c r="M341" s="423" t="s">
        <v>699</v>
      </c>
      <c r="N341" s="206">
        <v>307.05099999999999</v>
      </c>
      <c r="O341" s="546"/>
      <c r="R341" s="206"/>
    </row>
    <row r="342" spans="1:18" ht="15">
      <c r="A342" s="424">
        <v>154168</v>
      </c>
      <c r="B342" t="str">
        <f t="shared" si="11"/>
        <v>SEVROLL profil "U"na DTD 36mm str.3m</v>
      </c>
      <c r="C342" s="209">
        <f t="shared" si="12"/>
        <v>14.92038</v>
      </c>
      <c r="D342" s="542" t="s">
        <v>3360</v>
      </c>
      <c r="E342" s="542" t="s">
        <v>2341</v>
      </c>
      <c r="F342" s="542" t="s">
        <v>3361</v>
      </c>
      <c r="G342" s="542" t="s">
        <v>2342</v>
      </c>
      <c r="H342" s="426">
        <v>429.85471999999999</v>
      </c>
      <c r="I342" s="425">
        <v>14.92038</v>
      </c>
      <c r="J342" s="425">
        <v>50.8</v>
      </c>
      <c r="K342" s="425">
        <v>4870.3756899999998</v>
      </c>
      <c r="L342" s="542" t="s">
        <v>621</v>
      </c>
      <c r="M342" s="423" t="s">
        <v>699</v>
      </c>
      <c r="N342" s="206">
        <v>310.3175</v>
      </c>
      <c r="O342" s="546"/>
      <c r="R342" s="206"/>
    </row>
    <row r="343" spans="1:18" ht="15">
      <c r="A343" s="424">
        <v>299757</v>
      </c>
      <c r="B343" t="str">
        <f t="shared" si="11"/>
        <v>SEVROLL Idea horné/spodné vedenie 2m str.</v>
      </c>
      <c r="C343" s="209">
        <f t="shared" si="12"/>
        <v>15.90864</v>
      </c>
      <c r="D343" s="542" t="s">
        <v>3567</v>
      </c>
      <c r="E343" s="542" t="s">
        <v>2046</v>
      </c>
      <c r="F343" s="542" t="s">
        <v>3568</v>
      </c>
      <c r="G343" s="542" t="s">
        <v>2047</v>
      </c>
      <c r="H343" s="426">
        <v>458.32191999999998</v>
      </c>
      <c r="I343" s="425">
        <v>15.90864</v>
      </c>
      <c r="J343" s="425">
        <v>54.16</v>
      </c>
      <c r="K343" s="425">
        <v>5192.9171299999998</v>
      </c>
      <c r="L343" s="542" t="s">
        <v>622</v>
      </c>
      <c r="M343" s="423" t="s">
        <v>699</v>
      </c>
      <c r="N343" s="206">
        <v>314.89060000000001</v>
      </c>
      <c r="O343" s="546"/>
      <c r="R343" s="206"/>
    </row>
    <row r="344" spans="1:18" ht="15">
      <c r="A344" s="424">
        <v>224119</v>
      </c>
      <c r="B344" t="str">
        <f t="shared" si="11"/>
        <v>SEVROLL horné vedenie Simple 2m oliva</v>
      </c>
      <c r="C344" s="209">
        <f t="shared" si="12"/>
        <v>20.381499999999999</v>
      </c>
      <c r="D344" s="542" t="s">
        <v>3346</v>
      </c>
      <c r="E344" s="542" t="s">
        <v>2376</v>
      </c>
      <c r="F344" s="542" t="s">
        <v>3347</v>
      </c>
      <c r="G344" s="542" t="s">
        <v>2377</v>
      </c>
      <c r="H344" s="426">
        <v>440.60219999999998</v>
      </c>
      <c r="I344" s="425">
        <v>20.381499999999999</v>
      </c>
      <c r="J344" s="425">
        <v>53.34</v>
      </c>
      <c r="K344" s="425">
        <v>4733.2955899999997</v>
      </c>
      <c r="L344" s="542" t="s">
        <v>622</v>
      </c>
      <c r="M344" s="423" t="s">
        <v>699</v>
      </c>
      <c r="N344" s="206">
        <v>316.00259999999997</v>
      </c>
      <c r="O344" s="546"/>
      <c r="R344" s="206"/>
    </row>
    <row r="345" spans="1:18" ht="15">
      <c r="A345" s="424">
        <v>89104</v>
      </c>
      <c r="B345" t="str">
        <f t="shared" si="11"/>
        <v>SEVROLL Gemini horné vedenie 1,7m zlatá</v>
      </c>
      <c r="C345" s="209">
        <f t="shared" si="12"/>
        <v>18.704699999999999</v>
      </c>
      <c r="D345" s="542" t="s">
        <v>3706</v>
      </c>
      <c r="E345" s="542" t="s">
        <v>1900</v>
      </c>
      <c r="F345" s="542" t="s">
        <v>3707</v>
      </c>
      <c r="G345" s="542" t="s">
        <v>1901</v>
      </c>
      <c r="H345" s="426">
        <v>480.38400000000001</v>
      </c>
      <c r="I345" s="425">
        <v>18.704699999999999</v>
      </c>
      <c r="J345" s="425">
        <v>68.260000000000005</v>
      </c>
      <c r="K345" s="425">
        <v>5442.8867399999999</v>
      </c>
      <c r="L345" s="542" t="s">
        <v>622</v>
      </c>
      <c r="M345" s="423" t="s">
        <v>699</v>
      </c>
      <c r="N345" s="206">
        <v>316.19720000000001</v>
      </c>
      <c r="O345" s="546"/>
      <c r="R345" s="206"/>
    </row>
    <row r="346" spans="1:18" ht="15">
      <c r="A346" s="424">
        <v>84412</v>
      </c>
      <c r="B346" t="str">
        <f t="shared" si="11"/>
        <v>SEVROLL-Gemini spodné vedenie 3m striebo</v>
      </c>
      <c r="C346" s="209">
        <f t="shared" si="12"/>
        <v>16.31841</v>
      </c>
      <c r="D346" s="542" t="s">
        <v>4526</v>
      </c>
      <c r="E346" s="542" t="s">
        <v>4527</v>
      </c>
      <c r="F346" s="542" t="s">
        <v>1969</v>
      </c>
      <c r="G346" s="542" t="s">
        <v>1968</v>
      </c>
      <c r="H346" s="426">
        <v>437.6832</v>
      </c>
      <c r="I346" s="425">
        <v>16.31841</v>
      </c>
      <c r="J346" s="425">
        <v>53.92</v>
      </c>
      <c r="K346" s="425">
        <v>4959.0745900000002</v>
      </c>
      <c r="L346" s="542" t="s">
        <v>621</v>
      </c>
      <c r="M346" s="423" t="s">
        <v>699</v>
      </c>
      <c r="N346" s="206">
        <v>316.19720000000001</v>
      </c>
      <c r="O346" s="546"/>
      <c r="R346" s="206"/>
    </row>
    <row r="347" spans="1:18" ht="15">
      <c r="A347" s="424">
        <v>102820</v>
      </c>
      <c r="B347" t="str">
        <f t="shared" si="11"/>
        <v>SEVROLL-MAXIM VOD.LIŠTA 1,8 M STRIEBORNA</v>
      </c>
      <c r="C347" s="209">
        <f t="shared" si="12"/>
        <v>16.197890000000001</v>
      </c>
      <c r="D347" s="542" t="s">
        <v>3455</v>
      </c>
      <c r="E347" s="542" t="s">
        <v>2225</v>
      </c>
      <c r="F347" s="542" t="s">
        <v>664</v>
      </c>
      <c r="G347" s="542" t="s">
        <v>2226</v>
      </c>
      <c r="H347" s="426">
        <v>466.15039999999999</v>
      </c>
      <c r="I347" s="425">
        <v>16.197890000000001</v>
      </c>
      <c r="J347" s="425">
        <v>55.09</v>
      </c>
      <c r="K347" s="425">
        <v>5281.6160300000001</v>
      </c>
      <c r="L347" s="542" t="s">
        <v>622</v>
      </c>
      <c r="M347" s="423" t="s">
        <v>699</v>
      </c>
      <c r="N347" s="206">
        <v>320.11700000000002</v>
      </c>
      <c r="O347" s="546"/>
      <c r="R347" s="206"/>
    </row>
    <row r="348" spans="1:18" ht="15">
      <c r="A348" s="424">
        <v>163111</v>
      </c>
      <c r="B348" t="str">
        <f t="shared" si="11"/>
        <v>SEVROLL-SPOD.VED. DOUBLER II 1,7M OLIVA</v>
      </c>
      <c r="C348" s="209">
        <f t="shared" si="12"/>
        <v>17.4754</v>
      </c>
      <c r="D348" s="542" t="s">
        <v>3850</v>
      </c>
      <c r="E348" s="542" t="s">
        <v>1692</v>
      </c>
      <c r="F348" s="542" t="s">
        <v>674</v>
      </c>
      <c r="G348" s="542" t="s">
        <v>1693</v>
      </c>
      <c r="H348" s="426">
        <v>468.99712</v>
      </c>
      <c r="I348" s="425">
        <v>17.4754</v>
      </c>
      <c r="J348" s="425">
        <v>60.15</v>
      </c>
      <c r="K348" s="425">
        <v>5313.8701799999999</v>
      </c>
      <c r="L348" s="542" t="s">
        <v>622</v>
      </c>
      <c r="M348" s="423" t="s">
        <v>699</v>
      </c>
      <c r="N348" s="206">
        <v>322.07690000000002</v>
      </c>
      <c r="O348" s="546"/>
      <c r="R348" s="206"/>
    </row>
    <row r="349" spans="1:18" ht="15">
      <c r="A349" s="429">
        <v>279095</v>
      </c>
      <c r="B349" t="str">
        <f t="shared" si="11"/>
        <v>SEVROLL krycí profil Galaxy 3m</v>
      </c>
      <c r="C349" s="209">
        <f t="shared" si="12"/>
        <v>18.945740000000001</v>
      </c>
      <c r="D349" s="542" t="s">
        <v>4439</v>
      </c>
      <c r="E349" s="542" t="s">
        <v>2783</v>
      </c>
      <c r="F349" s="542" t="s">
        <v>4439</v>
      </c>
      <c r="G349" s="542" t="s">
        <v>2865</v>
      </c>
      <c r="H349" s="426">
        <v>474.81288000000001</v>
      </c>
      <c r="I349" s="425">
        <v>18.945740000000001</v>
      </c>
      <c r="J349" s="425">
        <v>57.71</v>
      </c>
      <c r="K349" s="425">
        <v>5338.06077</v>
      </c>
      <c r="L349" s="542" t="s">
        <v>621</v>
      </c>
      <c r="M349" s="430" t="s">
        <v>699</v>
      </c>
      <c r="N349" s="206">
        <v>323.10271999999998</v>
      </c>
      <c r="O349" s="546"/>
      <c r="R349" s="206"/>
    </row>
    <row r="350" spans="1:18" ht="15">
      <c r="A350" s="429">
        <v>223506</v>
      </c>
      <c r="B350" t="str">
        <f t="shared" si="11"/>
        <v>SEVROLL horné vedenie Herkules 2 1,2m alu</v>
      </c>
      <c r="C350" s="209">
        <f t="shared" si="12"/>
        <v>20.970479999999998</v>
      </c>
      <c r="D350" s="542" t="s">
        <v>3665</v>
      </c>
      <c r="E350" s="542" t="s">
        <v>2764</v>
      </c>
      <c r="F350" s="542" t="s">
        <v>3666</v>
      </c>
      <c r="G350" s="542" t="s">
        <v>2839</v>
      </c>
      <c r="H350" s="426">
        <v>511.39211999999998</v>
      </c>
      <c r="I350" s="425">
        <v>20.970479999999998</v>
      </c>
      <c r="J350" s="425">
        <v>59.94</v>
      </c>
      <c r="K350" s="425">
        <v>5749.3010999999997</v>
      </c>
      <c r="L350" s="542" t="s">
        <v>622</v>
      </c>
      <c r="M350" s="430" t="s">
        <v>699</v>
      </c>
      <c r="N350" s="206">
        <v>323.73378000000002</v>
      </c>
      <c r="O350" s="546"/>
      <c r="R350" s="206"/>
    </row>
    <row r="351" spans="1:18" ht="15">
      <c r="A351" s="424">
        <v>96421</v>
      </c>
      <c r="B351" t="str">
        <f t="shared" si="11"/>
        <v>SEVROLL Fox II úch.lišta 2,7m strieborná</v>
      </c>
      <c r="C351" s="209">
        <f t="shared" si="12"/>
        <v>17.4754</v>
      </c>
      <c r="D351" s="542" t="s">
        <v>4578</v>
      </c>
      <c r="E351" s="542" t="s">
        <v>1879</v>
      </c>
      <c r="F351" s="542" t="s">
        <v>4579</v>
      </c>
      <c r="G351" s="542" t="s">
        <v>1880</v>
      </c>
      <c r="H351" s="426">
        <v>468.99712</v>
      </c>
      <c r="I351" s="425">
        <v>17.4754</v>
      </c>
      <c r="J351" s="425">
        <v>63.41</v>
      </c>
      <c r="K351" s="425">
        <v>5313.8701799999999</v>
      </c>
      <c r="L351" s="542" t="s">
        <v>621</v>
      </c>
      <c r="M351" s="423" t="s">
        <v>699</v>
      </c>
      <c r="N351" s="206">
        <v>324.03680000000003</v>
      </c>
      <c r="O351" s="546"/>
      <c r="R351" s="206"/>
    </row>
    <row r="352" spans="1:18" ht="15">
      <c r="A352" s="424">
        <v>349475</v>
      </c>
      <c r="B352" t="str">
        <f t="shared" si="11"/>
        <v>SEVROLL Blue horné vedenie 2m strieborná</v>
      </c>
      <c r="C352" s="209">
        <f t="shared" si="12"/>
        <v>19.400580000000001</v>
      </c>
      <c r="D352" s="542" t="s">
        <v>4076</v>
      </c>
      <c r="E352" s="542" t="s">
        <v>1590</v>
      </c>
      <c r="F352" s="542" t="s">
        <v>4077</v>
      </c>
      <c r="G352" s="542" t="s">
        <v>84</v>
      </c>
      <c r="H352" s="426">
        <v>432.34559999999999</v>
      </c>
      <c r="I352" s="425">
        <v>19.400580000000001</v>
      </c>
      <c r="J352" s="425">
        <v>48.44</v>
      </c>
      <c r="K352" s="425">
        <v>4644.5966900000003</v>
      </c>
      <c r="L352" s="542" t="s">
        <v>1025</v>
      </c>
      <c r="M352" s="423" t="s">
        <v>699</v>
      </c>
      <c r="N352" s="206">
        <v>325.7604</v>
      </c>
      <c r="O352" s="546"/>
      <c r="R352" s="206"/>
    </row>
    <row r="353" spans="1:18" ht="15">
      <c r="A353" s="424">
        <v>224129</v>
      </c>
      <c r="B353" t="str">
        <f t="shared" si="11"/>
        <v>SEVROLL spodné vedenie Simple 4m oliva</v>
      </c>
      <c r="C353" s="209">
        <f t="shared" si="12"/>
        <v>20.681229999999999</v>
      </c>
      <c r="D353" s="542" t="s">
        <v>3328</v>
      </c>
      <c r="E353" s="542" t="s">
        <v>2409</v>
      </c>
      <c r="F353" s="542" t="s">
        <v>3329</v>
      </c>
      <c r="G353" s="542" t="s">
        <v>2410</v>
      </c>
      <c r="H353" s="426">
        <v>458.61660000000001</v>
      </c>
      <c r="I353" s="425">
        <v>20.681229999999999</v>
      </c>
      <c r="J353" s="425">
        <v>57.43</v>
      </c>
      <c r="K353" s="425">
        <v>4926.8204400000004</v>
      </c>
      <c r="L353" s="542" t="s">
        <v>622</v>
      </c>
      <c r="M353" s="423" t="s">
        <v>699</v>
      </c>
      <c r="N353" s="206">
        <v>328.76280000000003</v>
      </c>
      <c r="O353" s="546"/>
      <c r="R353" s="206"/>
    </row>
    <row r="354" spans="1:18" ht="15">
      <c r="A354" s="424">
        <v>349819</v>
      </c>
      <c r="B354" t="str">
        <f t="shared" si="11"/>
        <v>SEVROLL Blue-V spodné vedenie 4m strieborná</v>
      </c>
      <c r="C354" s="209">
        <f t="shared" si="12"/>
        <v>19.427820000000001</v>
      </c>
      <c r="D354" s="542" t="s">
        <v>4066</v>
      </c>
      <c r="E354" s="542" t="s">
        <v>1617</v>
      </c>
      <c r="F354" s="542" t="s">
        <v>4067</v>
      </c>
      <c r="G354" s="542" t="s">
        <v>84</v>
      </c>
      <c r="H354" s="426">
        <v>427.09140000000002</v>
      </c>
      <c r="I354" s="425">
        <v>19.427820000000001</v>
      </c>
      <c r="J354" s="425">
        <v>67.2</v>
      </c>
      <c r="K354" s="425">
        <v>4588.15193</v>
      </c>
      <c r="L354" s="542" t="s">
        <v>1025</v>
      </c>
      <c r="M354" s="423" t="s">
        <v>699</v>
      </c>
      <c r="N354" s="206">
        <v>330.26400000000001</v>
      </c>
      <c r="O354" s="546"/>
      <c r="R354" s="206"/>
    </row>
    <row r="355" spans="1:18" ht="15">
      <c r="A355" s="424">
        <v>89105</v>
      </c>
      <c r="B355" t="str">
        <f t="shared" si="11"/>
        <v>SEVROLL Gemini horné vedenie 1,7m oliva</v>
      </c>
      <c r="C355" s="209">
        <f t="shared" si="12"/>
        <v>18.704699999999999</v>
      </c>
      <c r="D355" s="542" t="s">
        <v>4569</v>
      </c>
      <c r="E355" s="542" t="s">
        <v>1891</v>
      </c>
      <c r="F355" s="542" t="s">
        <v>4570</v>
      </c>
      <c r="G355" s="542" t="s">
        <v>1892</v>
      </c>
      <c r="H355" s="426">
        <v>480.38400000000001</v>
      </c>
      <c r="I355" s="425">
        <v>18.704699999999999</v>
      </c>
      <c r="J355" s="425">
        <v>68.260000000000005</v>
      </c>
      <c r="K355" s="425">
        <v>5442.8867399999999</v>
      </c>
      <c r="L355" s="542" t="s">
        <v>621</v>
      </c>
      <c r="M355" s="423" t="s">
        <v>699</v>
      </c>
      <c r="N355" s="206">
        <v>331.87639999999999</v>
      </c>
      <c r="O355" s="546"/>
      <c r="R355" s="206"/>
    </row>
    <row r="356" spans="1:18" ht="15">
      <c r="A356" s="424">
        <v>227193</v>
      </c>
      <c r="B356" t="str">
        <f t="shared" si="11"/>
        <v>SEVROLL spojovacia lišta H10 Decor 3m oliva</v>
      </c>
      <c r="C356" s="209">
        <f t="shared" si="12"/>
        <v>15.83633</v>
      </c>
      <c r="D356" s="542" t="s">
        <v>3259</v>
      </c>
      <c r="E356" s="542" t="s">
        <v>1140</v>
      </c>
      <c r="F356" s="542" t="s">
        <v>3260</v>
      </c>
      <c r="G356" s="542" t="s">
        <v>2512</v>
      </c>
      <c r="H356" s="426">
        <v>481.80736000000002</v>
      </c>
      <c r="I356" s="425">
        <v>15.83633</v>
      </c>
      <c r="J356" s="425">
        <v>56.94</v>
      </c>
      <c r="K356" s="425">
        <v>5459.0138200000001</v>
      </c>
      <c r="L356" s="542" t="s">
        <v>622</v>
      </c>
      <c r="M356" s="423" t="s">
        <v>699</v>
      </c>
      <c r="N356" s="206">
        <v>331.87639999999999</v>
      </c>
      <c r="O356" s="546"/>
      <c r="R356" s="206"/>
    </row>
    <row r="357" spans="1:18" ht="15">
      <c r="A357" s="424">
        <v>308630</v>
      </c>
      <c r="B357" t="str">
        <f t="shared" si="11"/>
        <v>SEVROLL uholník 36x36mm 3m strieborná</v>
      </c>
      <c r="C357" s="209">
        <f t="shared" si="12"/>
        <v>15.98095</v>
      </c>
      <c r="D357" s="542" t="s">
        <v>4140</v>
      </c>
      <c r="E357" s="542" t="s">
        <v>2613</v>
      </c>
      <c r="F357" s="542" t="s">
        <v>4141</v>
      </c>
      <c r="G357" s="542" t="s">
        <v>2614</v>
      </c>
      <c r="H357" s="426">
        <v>460.45695999999998</v>
      </c>
      <c r="I357" s="425">
        <v>15.98095</v>
      </c>
      <c r="J357" s="425">
        <v>54.41</v>
      </c>
      <c r="K357" s="425">
        <v>5217.1077400000004</v>
      </c>
      <c r="L357" s="542" t="s">
        <v>621</v>
      </c>
      <c r="M357" s="423" t="s">
        <v>699</v>
      </c>
      <c r="N357" s="206">
        <v>332.52969999999999</v>
      </c>
      <c r="O357" s="546"/>
      <c r="R357" s="206"/>
    </row>
    <row r="358" spans="1:18" ht="15">
      <c r="A358" s="424">
        <v>351387</v>
      </c>
      <c r="B358" t="str">
        <f t="shared" si="11"/>
        <v/>
      </c>
      <c r="C358" s="209">
        <f t="shared" si="12"/>
        <v>0</v>
      </c>
      <c r="D358" s="542" t="s">
        <v>2671</v>
      </c>
      <c r="E358" s="542" t="s">
        <v>2672</v>
      </c>
      <c r="F358" s="542" t="s">
        <v>84</v>
      </c>
      <c r="G358" s="542" t="s">
        <v>84</v>
      </c>
      <c r="H358" s="426">
        <v>362.95679999999999</v>
      </c>
      <c r="I358" s="425">
        <v>0</v>
      </c>
      <c r="J358" s="425">
        <v>46.062269999999998</v>
      </c>
      <c r="K358" s="425">
        <v>4112.4033099999997</v>
      </c>
      <c r="L358" s="542" t="s">
        <v>622</v>
      </c>
      <c r="M358" s="423" t="s">
        <v>699</v>
      </c>
      <c r="N358" s="206">
        <v>333.18299999999999</v>
      </c>
      <c r="O358" s="546"/>
      <c r="R358" s="206"/>
    </row>
    <row r="359" spans="1:18" ht="15">
      <c r="A359" s="424">
        <v>238036</v>
      </c>
      <c r="B359" t="str">
        <f t="shared" si="11"/>
        <v>SEVROLL Maxim spojovacia lišta H25 1,8m oliv</v>
      </c>
      <c r="C359" s="209">
        <f t="shared" si="12"/>
        <v>16.896899999999999</v>
      </c>
      <c r="D359" s="542" t="s">
        <v>3460</v>
      </c>
      <c r="E359" s="542" t="s">
        <v>1416</v>
      </c>
      <c r="F359" s="542" t="s">
        <v>3461</v>
      </c>
      <c r="G359" s="542" t="s">
        <v>2220</v>
      </c>
      <c r="H359" s="426">
        <v>486.78912000000003</v>
      </c>
      <c r="I359" s="425">
        <v>16.896899999999999</v>
      </c>
      <c r="J359" s="425">
        <v>57.53</v>
      </c>
      <c r="K359" s="425">
        <v>5515.45856</v>
      </c>
      <c r="L359" s="542" t="s">
        <v>622</v>
      </c>
      <c r="M359" s="423" t="s">
        <v>699</v>
      </c>
      <c r="N359" s="206">
        <v>334.4896</v>
      </c>
      <c r="O359" s="546"/>
      <c r="R359" s="206"/>
    </row>
    <row r="360" spans="1:18" ht="15">
      <c r="A360" s="424">
        <v>308528</v>
      </c>
      <c r="B360" t="str">
        <f t="shared" si="11"/>
        <v>SEVROLL profil "U" na DTD 36mm oliva 3m</v>
      </c>
      <c r="C360" s="209">
        <f t="shared" si="12"/>
        <v>17.11384</v>
      </c>
      <c r="D360" s="542" t="s">
        <v>3362</v>
      </c>
      <c r="E360" s="542" t="s">
        <v>2339</v>
      </c>
      <c r="F360" s="542" t="s">
        <v>3363</v>
      </c>
      <c r="G360" s="542" t="s">
        <v>2340</v>
      </c>
      <c r="H360" s="426">
        <v>493.19423999999998</v>
      </c>
      <c r="I360" s="425">
        <v>17.11384</v>
      </c>
      <c r="J360" s="425">
        <v>58.28</v>
      </c>
      <c r="K360" s="425">
        <v>5588.0303899999999</v>
      </c>
      <c r="L360" s="542" t="s">
        <v>622</v>
      </c>
      <c r="M360" s="423" t="s">
        <v>699</v>
      </c>
      <c r="N360" s="206">
        <v>339.06270000000001</v>
      </c>
      <c r="O360" s="546"/>
      <c r="R360" s="206"/>
    </row>
    <row r="361" spans="1:18" ht="15">
      <c r="A361" s="424">
        <v>182206</v>
      </c>
      <c r="B361" t="str">
        <f t="shared" ref="B361:B424" si="13">IF($A$2=1,D361,IF($A$2=2,F361,IF($A$2=3,G361,IF($A$2=4,E361,"zadat jazyk"))))</f>
        <v>SEVROLL fólia 200-1682 (111056) 14,7m/6cm</v>
      </c>
      <c r="C361" s="209" t="e">
        <f t="shared" si="12"/>
        <v>#N/A</v>
      </c>
      <c r="D361" s="542" t="s">
        <v>3745</v>
      </c>
      <c r="E361" s="542" t="s">
        <v>1020</v>
      </c>
      <c r="F361" s="542" t="s">
        <v>3746</v>
      </c>
      <c r="G361" s="542" t="s">
        <v>1853</v>
      </c>
      <c r="H361" s="426">
        <v>0</v>
      </c>
      <c r="I361" s="425" t="e">
        <v>#N/A</v>
      </c>
      <c r="J361" s="425">
        <v>0</v>
      </c>
      <c r="K361" s="425">
        <v>0</v>
      </c>
      <c r="L361" s="542" t="s">
        <v>622</v>
      </c>
      <c r="M361" s="423" t="s">
        <v>699</v>
      </c>
      <c r="N361" s="206">
        <v>340.36930000000001</v>
      </c>
      <c r="O361" s="546"/>
      <c r="R361" s="206"/>
    </row>
    <row r="362" spans="1:18" ht="15">
      <c r="A362" s="424">
        <v>252626</v>
      </c>
      <c r="B362" t="str">
        <f t="shared" si="13"/>
        <v>SEVROLL fólia 200-2234 14,7m/6cm</v>
      </c>
      <c r="C362" s="209" t="e">
        <f t="shared" si="12"/>
        <v>#N/A</v>
      </c>
      <c r="D362" s="542" t="s">
        <v>3731</v>
      </c>
      <c r="E362" s="542" t="s">
        <v>1428</v>
      </c>
      <c r="F362" s="542" t="s">
        <v>3732</v>
      </c>
      <c r="G362" s="542" t="s">
        <v>1859</v>
      </c>
      <c r="H362" s="426">
        <v>0</v>
      </c>
      <c r="I362" s="425" t="e">
        <v>#N/A</v>
      </c>
      <c r="J362" s="425">
        <v>0</v>
      </c>
      <c r="K362" s="425">
        <v>0</v>
      </c>
      <c r="L362" s="542" t="s">
        <v>622</v>
      </c>
      <c r="M362" s="423" t="s">
        <v>699</v>
      </c>
      <c r="N362" s="206">
        <v>340.36930000000001</v>
      </c>
      <c r="O362" s="546"/>
      <c r="R362" s="206"/>
    </row>
    <row r="363" spans="1:18" ht="15">
      <c r="A363" s="424">
        <v>351476</v>
      </c>
      <c r="B363" t="str">
        <f t="shared" si="13"/>
        <v>SEVROLL Gemini spodné vedenie 2,35m biela le</v>
      </c>
      <c r="C363" s="209">
        <f t="shared" si="12"/>
        <v>17.28257</v>
      </c>
      <c r="D363" s="542" t="s">
        <v>3678</v>
      </c>
      <c r="E363" s="542" t="s">
        <v>3679</v>
      </c>
      <c r="F363" s="542" t="s">
        <v>3680</v>
      </c>
      <c r="G363" s="542" t="s">
        <v>84</v>
      </c>
      <c r="H363" s="426">
        <v>498.17599999999999</v>
      </c>
      <c r="I363" s="425">
        <v>17.28257</v>
      </c>
      <c r="J363" s="425">
        <v>59.36</v>
      </c>
      <c r="K363" s="425">
        <v>5644.4751299999998</v>
      </c>
      <c r="L363" s="542" t="s">
        <v>622</v>
      </c>
      <c r="M363" s="423" t="s">
        <v>699</v>
      </c>
      <c r="N363" s="206">
        <v>342.98250000000002</v>
      </c>
      <c r="O363" s="546"/>
      <c r="R363" s="206"/>
    </row>
    <row r="364" spans="1:18" ht="15">
      <c r="A364" s="424">
        <v>89029</v>
      </c>
      <c r="B364" t="str">
        <f t="shared" si="13"/>
        <v>SEVROLL Single horné vedenie 1,7m strieborná</v>
      </c>
      <c r="C364" s="209">
        <f t="shared" si="12"/>
        <v>16.535340000000001</v>
      </c>
      <c r="D364" s="542" t="s">
        <v>4286</v>
      </c>
      <c r="E364" s="542" t="s">
        <v>884</v>
      </c>
      <c r="F364" s="542" t="s">
        <v>4287</v>
      </c>
      <c r="G364" s="542" t="s">
        <v>2416</v>
      </c>
      <c r="H364" s="426">
        <v>476.11392000000001</v>
      </c>
      <c r="I364" s="425">
        <v>16.535340000000001</v>
      </c>
      <c r="J364" s="425">
        <v>56.26</v>
      </c>
      <c r="K364" s="425">
        <v>5394.5055400000001</v>
      </c>
      <c r="L364" s="542" t="s">
        <v>621</v>
      </c>
      <c r="M364" s="423" t="s">
        <v>699</v>
      </c>
      <c r="N364" s="206">
        <v>343.63580000000002</v>
      </c>
      <c r="O364" s="546"/>
      <c r="R364" s="206"/>
    </row>
    <row r="365" spans="1:18" ht="15">
      <c r="A365" s="424">
        <v>135552</v>
      </c>
      <c r="B365" t="str">
        <f t="shared" si="13"/>
        <v>SEVROLL Minicomfort II úch.lišta 2,7m str.</v>
      </c>
      <c r="C365" s="209">
        <f t="shared" si="12"/>
        <v>17.836960000000001</v>
      </c>
      <c r="D365" s="542" t="s">
        <v>4339</v>
      </c>
      <c r="E365" s="542" t="s">
        <v>2257</v>
      </c>
      <c r="F365" s="542" t="s">
        <v>4340</v>
      </c>
      <c r="G365" s="542" t="s">
        <v>2258</v>
      </c>
      <c r="H365" s="426">
        <v>478.96064000000001</v>
      </c>
      <c r="I365" s="425">
        <v>17.836960000000001</v>
      </c>
      <c r="J365" s="425">
        <v>66.150000000000006</v>
      </c>
      <c r="K365" s="425">
        <v>5426.7596700000004</v>
      </c>
      <c r="L365" s="542" t="s">
        <v>621</v>
      </c>
      <c r="M365" s="423" t="s">
        <v>699</v>
      </c>
      <c r="N365" s="206">
        <v>346.24900000000002</v>
      </c>
      <c r="O365" s="546"/>
      <c r="R365" s="206"/>
    </row>
    <row r="366" spans="1:18" ht="15">
      <c r="A366" s="424">
        <v>246893</v>
      </c>
      <c r="B366" t="str">
        <f t="shared" si="13"/>
        <v>SEVROLL Oaza II úch.lišta 2,7m strieborná</v>
      </c>
      <c r="C366" s="209">
        <f t="shared" si="12"/>
        <v>14.799860000000001</v>
      </c>
      <c r="D366" s="542" t="s">
        <v>4332</v>
      </c>
      <c r="E366" s="542" t="s">
        <v>1420</v>
      </c>
      <c r="F366" s="542" t="s">
        <v>4333</v>
      </c>
      <c r="G366" s="542" t="s">
        <v>2260</v>
      </c>
      <c r="H366" s="426">
        <v>436.97152</v>
      </c>
      <c r="I366" s="425">
        <v>14.799860000000001</v>
      </c>
      <c r="J366" s="425">
        <v>55.455359999999999</v>
      </c>
      <c r="K366" s="425">
        <v>4951.0110500000001</v>
      </c>
      <c r="L366" s="542" t="s">
        <v>621</v>
      </c>
      <c r="M366" s="423" t="s">
        <v>699</v>
      </c>
      <c r="N366" s="206">
        <v>347.55560000000003</v>
      </c>
      <c r="O366" s="546"/>
      <c r="R366" s="206"/>
    </row>
    <row r="367" spans="1:18" ht="15">
      <c r="A367" s="424">
        <v>246895</v>
      </c>
      <c r="B367" t="str">
        <f t="shared" si="13"/>
        <v>SEVROLL Oaza II úchytová lišta 2,7m zlatá</v>
      </c>
      <c r="C367" s="209">
        <f t="shared" si="12"/>
        <v>12.11327</v>
      </c>
      <c r="D367" s="542" t="s">
        <v>3440</v>
      </c>
      <c r="E367" s="542" t="s">
        <v>1422</v>
      </c>
      <c r="F367" s="542" t="s">
        <v>3440</v>
      </c>
      <c r="G367" s="542" t="s">
        <v>1423</v>
      </c>
      <c r="H367" s="426">
        <v>0</v>
      </c>
      <c r="I367" s="425">
        <v>12.11327</v>
      </c>
      <c r="J367" s="425">
        <v>0</v>
      </c>
      <c r="K367" s="425">
        <v>0</v>
      </c>
      <c r="L367" s="542" t="s">
        <v>623</v>
      </c>
      <c r="M367" s="423" t="s">
        <v>699</v>
      </c>
      <c r="N367" s="206">
        <v>348.86219999999997</v>
      </c>
      <c r="O367" s="546"/>
      <c r="R367" s="206"/>
    </row>
    <row r="368" spans="1:18" ht="15">
      <c r="A368" s="424">
        <v>224154</v>
      </c>
      <c r="B368" t="str">
        <f t="shared" si="13"/>
        <v>SEVROLL hor.vod.lišta Simple/Blue 2,5m(10mm)str.</v>
      </c>
      <c r="C368" s="209">
        <f t="shared" si="12"/>
        <v>18.06542</v>
      </c>
      <c r="D368" s="542" t="s">
        <v>3287</v>
      </c>
      <c r="E368" s="542" t="s">
        <v>3288</v>
      </c>
      <c r="F368" s="542" t="s">
        <v>3290</v>
      </c>
      <c r="G368" s="542" t="s">
        <v>3289</v>
      </c>
      <c r="H368" s="426">
        <v>418.83479999999997</v>
      </c>
      <c r="I368" s="425">
        <v>18.06542</v>
      </c>
      <c r="J368" s="425">
        <v>54.05</v>
      </c>
      <c r="K368" s="425">
        <v>4499.4530500000001</v>
      </c>
      <c r="L368" s="542" t="s">
        <v>622</v>
      </c>
      <c r="M368" s="423" t="s">
        <v>699</v>
      </c>
      <c r="N368" s="206">
        <v>349.029</v>
      </c>
      <c r="O368" s="546"/>
      <c r="R368" s="206"/>
    </row>
    <row r="369" spans="1:18" ht="15">
      <c r="A369" s="424">
        <v>228221</v>
      </c>
      <c r="B369" t="str">
        <f t="shared" si="13"/>
        <v>SEVROLL Universal 16 úchytová lišta 2,7m str</v>
      </c>
      <c r="C369" s="209">
        <f t="shared" si="12"/>
        <v>17.62002</v>
      </c>
      <c r="D369" s="542" t="s">
        <v>3186</v>
      </c>
      <c r="E369" s="542" t="s">
        <v>1151</v>
      </c>
      <c r="F369" s="542" t="s">
        <v>3187</v>
      </c>
      <c r="G369" s="542" t="s">
        <v>2645</v>
      </c>
      <c r="H369" s="426">
        <v>508.13952</v>
      </c>
      <c r="I369" s="425">
        <v>17.62002</v>
      </c>
      <c r="J369" s="425">
        <v>60.05</v>
      </c>
      <c r="K369" s="425">
        <v>5757.3646399999998</v>
      </c>
      <c r="L369" s="542" t="s">
        <v>622</v>
      </c>
      <c r="M369" s="423" t="s">
        <v>699</v>
      </c>
      <c r="N369" s="206">
        <v>349.51549999999997</v>
      </c>
      <c r="O369" s="546"/>
      <c r="R369" s="206"/>
    </row>
    <row r="370" spans="1:18" ht="15">
      <c r="A370" s="424">
        <v>84389</v>
      </c>
      <c r="B370" t="str">
        <f t="shared" si="13"/>
        <v>SEVROLL Elegant spodné vedenie 3m zlatá</v>
      </c>
      <c r="C370" s="209">
        <f t="shared" si="12"/>
        <v>19.307300000000001</v>
      </c>
      <c r="D370" s="542" t="s">
        <v>3821</v>
      </c>
      <c r="E370" s="542" t="s">
        <v>1754</v>
      </c>
      <c r="F370" s="542" t="s">
        <v>3822</v>
      </c>
      <c r="G370" s="542" t="s">
        <v>1755</v>
      </c>
      <c r="H370" s="426">
        <v>518.10303999999996</v>
      </c>
      <c r="I370" s="425">
        <v>19.307300000000001</v>
      </c>
      <c r="J370" s="425">
        <v>70.66</v>
      </c>
      <c r="K370" s="425">
        <v>5870.2541499999998</v>
      </c>
      <c r="L370" s="542" t="s">
        <v>622</v>
      </c>
      <c r="M370" s="423" t="s">
        <v>699</v>
      </c>
      <c r="N370" s="206">
        <v>350.82209999999998</v>
      </c>
      <c r="O370" s="546"/>
      <c r="R370" s="206"/>
    </row>
    <row r="371" spans="1:18" ht="15">
      <c r="A371" s="429">
        <v>279081</v>
      </c>
      <c r="B371" t="str">
        <f t="shared" si="13"/>
        <v>SEVROLL sada inter.dvere ZPI-18 na 50kg/kr.</v>
      </c>
      <c r="C371" s="209" t="e">
        <f t="shared" si="12"/>
        <v>#N/A</v>
      </c>
      <c r="D371" s="542" t="s">
        <v>4292</v>
      </c>
      <c r="E371" s="542" t="s">
        <v>2782</v>
      </c>
      <c r="F371" s="542" t="s">
        <v>4293</v>
      </c>
      <c r="G371" s="542" t="s">
        <v>2864</v>
      </c>
      <c r="H371" s="426">
        <v>1E-3</v>
      </c>
      <c r="I371" s="425" t="e">
        <v>#N/A</v>
      </c>
      <c r="J371" s="425">
        <v>1E-3</v>
      </c>
      <c r="K371" s="425">
        <v>1E-3</v>
      </c>
      <c r="L371" s="542" t="s">
        <v>7984</v>
      </c>
      <c r="M371" s="430" t="s">
        <v>700</v>
      </c>
      <c r="N371" s="206">
        <v>352.13148000000001</v>
      </c>
      <c r="O371" s="546"/>
      <c r="R371" s="206"/>
    </row>
    <row r="372" spans="1:18" ht="15">
      <c r="A372" s="424">
        <v>224012</v>
      </c>
      <c r="B372" t="str">
        <f t="shared" si="13"/>
        <v>SEVROLL horné vedenie Simple 2,5m striebor.</v>
      </c>
      <c r="C372" s="209">
        <f t="shared" si="12"/>
        <v>22.316109999999998</v>
      </c>
      <c r="D372" s="542" t="s">
        <v>3348</v>
      </c>
      <c r="E372" s="542" t="s">
        <v>2374</v>
      </c>
      <c r="F372" s="542" t="s">
        <v>3349</v>
      </c>
      <c r="G372" s="542" t="s">
        <v>2375</v>
      </c>
      <c r="H372" s="426">
        <v>481.8852</v>
      </c>
      <c r="I372" s="425">
        <v>22.316109999999998</v>
      </c>
      <c r="J372" s="425">
        <v>57.98</v>
      </c>
      <c r="K372" s="425">
        <v>5176.7900499999996</v>
      </c>
      <c r="L372" s="542" t="s">
        <v>622</v>
      </c>
      <c r="M372" s="423" t="s">
        <v>699</v>
      </c>
      <c r="N372" s="206">
        <v>354.28320000000002</v>
      </c>
      <c r="O372" s="546"/>
      <c r="R372" s="206"/>
    </row>
    <row r="373" spans="1:18" ht="15">
      <c r="A373" s="424">
        <v>96427</v>
      </c>
      <c r="B373" t="str">
        <f t="shared" si="13"/>
        <v>SEVROLL-FOX II - ÚCH.LIŠTA 2,7m OLIVA</v>
      </c>
      <c r="C373" s="209">
        <f t="shared" si="12"/>
        <v>19.2591</v>
      </c>
      <c r="D373" s="542" t="s">
        <v>4582</v>
      </c>
      <c r="E373" s="542" t="s">
        <v>1872</v>
      </c>
      <c r="F373" s="542" t="s">
        <v>1874</v>
      </c>
      <c r="G373" s="542" t="s">
        <v>1873</v>
      </c>
      <c r="H373" s="426">
        <v>516.67967999999996</v>
      </c>
      <c r="I373" s="425">
        <v>19.2591</v>
      </c>
      <c r="J373" s="425">
        <v>71.12</v>
      </c>
      <c r="K373" s="425">
        <v>5854.1270800000002</v>
      </c>
      <c r="L373" s="542" t="s">
        <v>621</v>
      </c>
      <c r="M373" s="423" t="s">
        <v>699</v>
      </c>
      <c r="N373" s="206">
        <v>356.70179999999999</v>
      </c>
      <c r="O373" s="546"/>
      <c r="R373" s="206"/>
    </row>
    <row r="374" spans="1:18" ht="15">
      <c r="A374" s="424">
        <v>96428</v>
      </c>
      <c r="B374" t="str">
        <f t="shared" si="13"/>
        <v>SEVROLL Fox úch.lišta 2,7m zlatá</v>
      </c>
      <c r="C374" s="209">
        <f t="shared" si="12"/>
        <v>19.2591</v>
      </c>
      <c r="D374" s="542" t="s">
        <v>3714</v>
      </c>
      <c r="E374" s="542" t="s">
        <v>1881</v>
      </c>
      <c r="F374" s="542" t="s">
        <v>3715</v>
      </c>
      <c r="G374" s="542" t="s">
        <v>1882</v>
      </c>
      <c r="H374" s="426">
        <v>516.67967999999996</v>
      </c>
      <c r="I374" s="425">
        <v>19.2591</v>
      </c>
      <c r="J374" s="425">
        <v>71.12</v>
      </c>
      <c r="K374" s="425">
        <v>5854.1270800000002</v>
      </c>
      <c r="L374" s="542" t="s">
        <v>622</v>
      </c>
      <c r="M374" s="423" t="s">
        <v>699</v>
      </c>
      <c r="N374" s="206">
        <v>356.70179999999999</v>
      </c>
      <c r="O374" s="546"/>
      <c r="R374" s="206"/>
    </row>
    <row r="375" spans="1:18" ht="15">
      <c r="A375" s="424">
        <v>84390</v>
      </c>
      <c r="B375" t="str">
        <f t="shared" si="13"/>
        <v>SEVROLL Elegant spodné vedenie 3m oliva</v>
      </c>
      <c r="C375" s="209">
        <f t="shared" si="12"/>
        <v>19.307300000000001</v>
      </c>
      <c r="D375" s="542" t="s">
        <v>4623</v>
      </c>
      <c r="E375" s="542" t="s">
        <v>1746</v>
      </c>
      <c r="F375" s="542" t="s">
        <v>4624</v>
      </c>
      <c r="G375" s="542" t="s">
        <v>1747</v>
      </c>
      <c r="H375" s="426">
        <v>518.10303999999996</v>
      </c>
      <c r="I375" s="425">
        <v>19.307300000000001</v>
      </c>
      <c r="J375" s="425">
        <v>70.66</v>
      </c>
      <c r="K375" s="425">
        <v>5870.2541499999998</v>
      </c>
      <c r="L375" s="542" t="s">
        <v>621</v>
      </c>
      <c r="M375" s="423" t="s">
        <v>699</v>
      </c>
      <c r="N375" s="206">
        <v>358.00839999999999</v>
      </c>
      <c r="O375" s="546"/>
      <c r="R375" s="206"/>
    </row>
    <row r="376" spans="1:18" ht="15">
      <c r="A376" s="424">
        <v>180412</v>
      </c>
      <c r="B376" t="str">
        <f t="shared" si="13"/>
        <v>SEVROLL Maxim II spodné vedenie 2,5m str.</v>
      </c>
      <c r="C376" s="209">
        <f t="shared" si="12"/>
        <v>17.258459999999999</v>
      </c>
      <c r="D376" s="542" t="s">
        <v>4381</v>
      </c>
      <c r="E376" s="542" t="s">
        <v>1093</v>
      </c>
      <c r="F376" s="542" t="s">
        <v>4382</v>
      </c>
      <c r="G376" s="542" t="s">
        <v>2185</v>
      </c>
      <c r="H376" s="426">
        <v>497.46431999999999</v>
      </c>
      <c r="I376" s="425">
        <v>17.258459999999999</v>
      </c>
      <c r="J376" s="425">
        <v>58.79</v>
      </c>
      <c r="K376" s="425">
        <v>5636.4116100000001</v>
      </c>
      <c r="L376" s="542" t="s">
        <v>621</v>
      </c>
      <c r="M376" s="423" t="s">
        <v>699</v>
      </c>
      <c r="N376" s="206">
        <v>359.315</v>
      </c>
      <c r="O376" s="546"/>
      <c r="R376" s="206"/>
    </row>
    <row r="377" spans="1:18" ht="15">
      <c r="A377" s="424">
        <v>89028</v>
      </c>
      <c r="B377" t="str">
        <f t="shared" si="13"/>
        <v>SEVROLL Single horné vedenie 1,7m oliva</v>
      </c>
      <c r="C377" s="209">
        <f t="shared" si="12"/>
        <v>18.174420000000001</v>
      </c>
      <c r="D377" s="542" t="s">
        <v>3322</v>
      </c>
      <c r="E377" s="542" t="s">
        <v>882</v>
      </c>
      <c r="F377" s="542" t="s">
        <v>3323</v>
      </c>
      <c r="G377" s="542" t="s">
        <v>883</v>
      </c>
      <c r="H377" s="426">
        <v>523.08479999999997</v>
      </c>
      <c r="I377" s="425">
        <v>18.174420000000001</v>
      </c>
      <c r="J377" s="425">
        <v>66.383849999999995</v>
      </c>
      <c r="K377" s="425">
        <v>5926.6989000000003</v>
      </c>
      <c r="L377" s="542" t="s">
        <v>622</v>
      </c>
      <c r="M377" s="423" t="s">
        <v>699</v>
      </c>
      <c r="N377" s="206">
        <v>359.315</v>
      </c>
      <c r="O377" s="546"/>
      <c r="R377" s="206"/>
    </row>
    <row r="378" spans="1:18" ht="15">
      <c r="A378" s="424">
        <v>349798</v>
      </c>
      <c r="B378" t="str">
        <f t="shared" si="13"/>
        <v>SEVROLL Blue horné vedenie 2m oliva</v>
      </c>
      <c r="C378" s="209">
        <f t="shared" si="12"/>
        <v>21.471419999999998</v>
      </c>
      <c r="D378" s="542" t="s">
        <v>4677</v>
      </c>
      <c r="E378" s="542" t="s">
        <v>1589</v>
      </c>
      <c r="F378" s="542" t="s">
        <v>4678</v>
      </c>
      <c r="G378" s="542" t="s">
        <v>84</v>
      </c>
      <c r="H378" s="426">
        <v>478.13220000000001</v>
      </c>
      <c r="I378" s="425">
        <v>21.471419999999998</v>
      </c>
      <c r="J378" s="425">
        <v>54.46</v>
      </c>
      <c r="K378" s="425">
        <v>5136.4723800000002</v>
      </c>
      <c r="L378" s="542" t="s">
        <v>621</v>
      </c>
      <c r="M378" s="423" t="s">
        <v>699</v>
      </c>
      <c r="N378" s="206">
        <v>360.28800000000001</v>
      </c>
      <c r="O378" s="546"/>
      <c r="R378" s="206"/>
    </row>
    <row r="379" spans="1:18" ht="15">
      <c r="A379" s="424">
        <v>163128</v>
      </c>
      <c r="B379" t="str">
        <f t="shared" si="13"/>
        <v>SEVROLL-MASKA DOUBLER II 6 M strieborná</v>
      </c>
      <c r="C379" s="209">
        <f t="shared" si="12"/>
        <v>18.246729999999999</v>
      </c>
      <c r="D379" s="542" t="s">
        <v>3851</v>
      </c>
      <c r="E379" s="542" t="s">
        <v>1085</v>
      </c>
      <c r="F379" s="542" t="s">
        <v>712</v>
      </c>
      <c r="G379" s="542" t="s">
        <v>1691</v>
      </c>
      <c r="H379" s="426">
        <v>525.21983999999998</v>
      </c>
      <c r="I379" s="425">
        <v>18.246729999999999</v>
      </c>
      <c r="J379" s="425">
        <v>62.07</v>
      </c>
      <c r="K379" s="425">
        <v>5950.88951</v>
      </c>
      <c r="L379" s="542" t="s">
        <v>622</v>
      </c>
      <c r="M379" s="423" t="s">
        <v>699</v>
      </c>
      <c r="N379" s="206">
        <v>361.2749</v>
      </c>
      <c r="O379" s="546"/>
      <c r="R379" s="206"/>
    </row>
    <row r="380" spans="1:18" ht="15">
      <c r="A380" s="424">
        <v>135532</v>
      </c>
      <c r="B380" t="str">
        <f t="shared" si="13"/>
        <v>SEVROLL Victoria II úcht.lišta 18mm 2,7m str</v>
      </c>
      <c r="C380" s="209">
        <f t="shared" si="12"/>
        <v>18.077999999999999</v>
      </c>
      <c r="D380" s="542" t="s">
        <v>4091</v>
      </c>
      <c r="E380" s="542" t="s">
        <v>2661</v>
      </c>
      <c r="F380" s="542" t="s">
        <v>4092</v>
      </c>
      <c r="G380" s="542" t="s">
        <v>2662</v>
      </c>
      <c r="H380" s="426">
        <v>500.31103999999999</v>
      </c>
      <c r="I380" s="425">
        <v>18.077999999999999</v>
      </c>
      <c r="J380" s="425">
        <v>60.35</v>
      </c>
      <c r="K380" s="425">
        <v>5668.6657400000004</v>
      </c>
      <c r="L380" s="542" t="s">
        <v>621</v>
      </c>
      <c r="M380" s="423" t="s">
        <v>699</v>
      </c>
      <c r="N380" s="206">
        <v>361.2749</v>
      </c>
      <c r="O380" s="546"/>
      <c r="R380" s="206"/>
    </row>
    <row r="381" spans="1:18" ht="15">
      <c r="A381" s="424">
        <v>349816</v>
      </c>
      <c r="B381" t="str">
        <f t="shared" si="13"/>
        <v>SEVROLL Blue-V spodné vedenie 4m oliva</v>
      </c>
      <c r="C381" s="209">
        <f t="shared" si="12"/>
        <v>21.907389999999999</v>
      </c>
      <c r="D381" s="542" t="s">
        <v>4667</v>
      </c>
      <c r="E381" s="542" t="s">
        <v>1616</v>
      </c>
      <c r="F381" s="542" t="s">
        <v>4668</v>
      </c>
      <c r="G381" s="542" t="s">
        <v>84</v>
      </c>
      <c r="H381" s="426">
        <v>481.13459999999998</v>
      </c>
      <c r="I381" s="425">
        <v>21.907389999999999</v>
      </c>
      <c r="J381" s="425">
        <v>75.25</v>
      </c>
      <c r="K381" s="425">
        <v>5168.7265100000004</v>
      </c>
      <c r="L381" s="542" t="s">
        <v>621</v>
      </c>
      <c r="M381" s="423" t="s">
        <v>699</v>
      </c>
      <c r="N381" s="206">
        <v>361.78919999999999</v>
      </c>
      <c r="O381" s="546"/>
      <c r="R381" s="206"/>
    </row>
    <row r="382" spans="1:18" ht="15">
      <c r="A382" s="424">
        <v>276742</v>
      </c>
      <c r="B382" t="str">
        <f t="shared" si="13"/>
        <v>SEVROLL Faworyt II úchytová liš.2,7m RAL9003</v>
      </c>
      <c r="C382" s="209">
        <f t="shared" si="12"/>
        <v>18.27083</v>
      </c>
      <c r="D382" s="542" t="s">
        <v>3773</v>
      </c>
      <c r="E382" s="542" t="s">
        <v>1814</v>
      </c>
      <c r="F382" s="542" t="s">
        <v>3774</v>
      </c>
      <c r="G382" s="542" t="s">
        <v>1815</v>
      </c>
      <c r="H382" s="426">
        <v>526.64319999999998</v>
      </c>
      <c r="I382" s="425">
        <v>18.27083</v>
      </c>
      <c r="J382" s="425">
        <v>62.24</v>
      </c>
      <c r="K382" s="425">
        <v>5967.0165699999998</v>
      </c>
      <c r="L382" s="542" t="s">
        <v>621</v>
      </c>
      <c r="M382" s="423" t="s">
        <v>699</v>
      </c>
      <c r="N382" s="206">
        <v>362.58150000000001</v>
      </c>
      <c r="O382" s="546"/>
      <c r="R382" s="206"/>
    </row>
    <row r="383" spans="1:18" ht="15">
      <c r="A383" s="424">
        <v>135553</v>
      </c>
      <c r="B383" t="str">
        <f t="shared" si="13"/>
        <v>SEVROLL Minicomfort II úchytová lišta 2,7m o</v>
      </c>
      <c r="C383" s="209">
        <f t="shared" si="12"/>
        <v>19.620660000000001</v>
      </c>
      <c r="D383" s="542" t="s">
        <v>3443</v>
      </c>
      <c r="E383" s="542" t="s">
        <v>2255</v>
      </c>
      <c r="F383" s="542" t="s">
        <v>3444</v>
      </c>
      <c r="G383" s="542" t="s">
        <v>2256</v>
      </c>
      <c r="H383" s="426">
        <v>526.64319999999998</v>
      </c>
      <c r="I383" s="425">
        <v>19.620660000000001</v>
      </c>
      <c r="J383" s="425">
        <v>72.77</v>
      </c>
      <c r="K383" s="425">
        <v>5967.0165699999998</v>
      </c>
      <c r="L383" s="542" t="s">
        <v>622</v>
      </c>
      <c r="M383" s="423" t="s">
        <v>699</v>
      </c>
      <c r="N383" s="206">
        <v>362.58150000000001</v>
      </c>
      <c r="O383" s="546"/>
      <c r="R383" s="206"/>
    </row>
    <row r="384" spans="1:18" ht="15">
      <c r="A384" s="424">
        <v>135344</v>
      </c>
      <c r="B384" t="str">
        <f t="shared" si="13"/>
        <v>SEVROLL Julia II úch.lišta 2,7m strieborná</v>
      </c>
      <c r="C384" s="209">
        <f t="shared" si="12"/>
        <v>18.825220000000002</v>
      </c>
      <c r="D384" s="542" t="s">
        <v>4448</v>
      </c>
      <c r="E384" s="542" t="s">
        <v>2057</v>
      </c>
      <c r="F384" s="542" t="s">
        <v>4449</v>
      </c>
      <c r="G384" s="542" t="s">
        <v>2058</v>
      </c>
      <c r="H384" s="426">
        <v>505.2928</v>
      </c>
      <c r="I384" s="425">
        <v>18.825220000000002</v>
      </c>
      <c r="J384" s="425">
        <v>67.28</v>
      </c>
      <c r="K384" s="425">
        <v>5725.11049</v>
      </c>
      <c r="L384" s="542" t="s">
        <v>621</v>
      </c>
      <c r="M384" s="423" t="s">
        <v>699</v>
      </c>
      <c r="N384" s="206">
        <v>364.54140000000001</v>
      </c>
      <c r="O384" s="546"/>
      <c r="R384" s="206"/>
    </row>
    <row r="385" spans="1:18" ht="15">
      <c r="A385" s="424">
        <v>135366</v>
      </c>
      <c r="B385" t="str">
        <f t="shared" si="13"/>
        <v>SEVROLL- ROMEO II ÚCH.LIŠTA 2,7 M STR.</v>
      </c>
      <c r="C385" s="209">
        <f t="shared" si="12"/>
        <v>18.825220000000002</v>
      </c>
      <c r="D385" s="542" t="s">
        <v>4294</v>
      </c>
      <c r="E385" s="542" t="s">
        <v>2362</v>
      </c>
      <c r="F385" s="542" t="s">
        <v>634</v>
      </c>
      <c r="G385" s="542" t="s">
        <v>2363</v>
      </c>
      <c r="H385" s="426">
        <v>505.2928</v>
      </c>
      <c r="I385" s="425">
        <v>18.825220000000002</v>
      </c>
      <c r="J385" s="425">
        <v>67.28</v>
      </c>
      <c r="K385" s="425">
        <v>5725.11049</v>
      </c>
      <c r="L385" s="542" t="s">
        <v>621</v>
      </c>
      <c r="M385" s="423" t="s">
        <v>699</v>
      </c>
      <c r="N385" s="206">
        <v>364.54140000000001</v>
      </c>
      <c r="O385" s="546"/>
      <c r="R385" s="206"/>
    </row>
    <row r="386" spans="1:18" ht="15">
      <c r="A386" s="424">
        <v>246894</v>
      </c>
      <c r="B386" t="str">
        <f t="shared" si="13"/>
        <v>SEVROLL Oaza II úch. Lišta 2,7m oliva</v>
      </c>
      <c r="C386" s="209">
        <f t="shared" si="12"/>
        <v>15.619389999999999</v>
      </c>
      <c r="D386" s="542" t="s">
        <v>4334</v>
      </c>
      <c r="E386" s="542" t="s">
        <v>1421</v>
      </c>
      <c r="F386" s="542" t="s">
        <v>4335</v>
      </c>
      <c r="G386" s="542" t="s">
        <v>2259</v>
      </c>
      <c r="H386" s="426">
        <v>461.16863999999998</v>
      </c>
      <c r="I386" s="425">
        <v>15.619389999999999</v>
      </c>
      <c r="J386" s="425">
        <v>58.526179999999997</v>
      </c>
      <c r="K386" s="425">
        <v>5225.1712799999996</v>
      </c>
      <c r="L386" s="542" t="s">
        <v>621</v>
      </c>
      <c r="M386" s="423" t="s">
        <v>699</v>
      </c>
      <c r="N386" s="206">
        <v>366.50130000000001</v>
      </c>
      <c r="O386" s="546"/>
      <c r="R386" s="206"/>
    </row>
    <row r="387" spans="1:18" ht="15">
      <c r="A387" s="424">
        <v>308629</v>
      </c>
      <c r="B387" t="str">
        <f t="shared" si="13"/>
        <v>SEVROLL uholník 36x36mm 3m oliva</v>
      </c>
      <c r="C387" s="209">
        <f t="shared" ref="C387:C450" si="14">IF($A$2=1,H387,IF($A$2=2,I387,IF($A$2=3,J387,IF($A$2=4,K387,"zadat jazyk"))))</f>
        <v>18.487770000000001</v>
      </c>
      <c r="D387" s="542" t="s">
        <v>3206</v>
      </c>
      <c r="E387" s="542" t="s">
        <v>2611</v>
      </c>
      <c r="F387" s="542" t="s">
        <v>3207</v>
      </c>
      <c r="G387" s="542" t="s">
        <v>2612</v>
      </c>
      <c r="H387" s="426">
        <v>532.33663999999999</v>
      </c>
      <c r="I387" s="425">
        <v>18.487770000000001</v>
      </c>
      <c r="J387" s="425">
        <v>62.91</v>
      </c>
      <c r="K387" s="425">
        <v>6031.5248700000002</v>
      </c>
      <c r="L387" s="542" t="s">
        <v>622</v>
      </c>
      <c r="M387" s="423" t="s">
        <v>699</v>
      </c>
      <c r="N387" s="206">
        <v>366.50130000000001</v>
      </c>
      <c r="O387" s="546"/>
      <c r="R387" s="206"/>
    </row>
    <row r="388" spans="1:18" ht="15">
      <c r="A388" s="424">
        <v>216363</v>
      </c>
      <c r="B388" t="str">
        <f t="shared" si="13"/>
        <v>SEVROLL zámok na posuvné dvere 18 mm</v>
      </c>
      <c r="C388" s="209">
        <f t="shared" si="14"/>
        <v>17.186150000000001</v>
      </c>
      <c r="D388" s="542" t="s">
        <v>4084</v>
      </c>
      <c r="E388" s="542" t="s">
        <v>4085</v>
      </c>
      <c r="F388" s="542" t="s">
        <v>4086</v>
      </c>
      <c r="G388" s="542" t="s">
        <v>2670</v>
      </c>
      <c r="H388" s="426">
        <v>461.16863999999998</v>
      </c>
      <c r="I388" s="425">
        <v>17.186150000000001</v>
      </c>
      <c r="J388" s="425">
        <v>68.5</v>
      </c>
      <c r="K388" s="425">
        <v>5225.1712799999996</v>
      </c>
      <c r="L388" s="542" t="s">
        <v>621</v>
      </c>
      <c r="M388" s="423" t="s">
        <v>699</v>
      </c>
      <c r="N388" s="206">
        <v>366.50130000000001</v>
      </c>
      <c r="O388" s="546"/>
      <c r="R388" s="206"/>
    </row>
    <row r="389" spans="1:18" ht="15">
      <c r="A389" s="424">
        <v>180418</v>
      </c>
      <c r="B389" t="str">
        <f t="shared" si="13"/>
        <v>SEVROLL-MAXIM II MASKA 6 M strieborná</v>
      </c>
      <c r="C389" s="209">
        <f t="shared" si="14"/>
        <v>18.511869999999998</v>
      </c>
      <c r="D389" s="542" t="s">
        <v>3485</v>
      </c>
      <c r="E389" s="542" t="s">
        <v>913</v>
      </c>
      <c r="F389" s="542" t="s">
        <v>3486</v>
      </c>
      <c r="G389" s="542" t="s">
        <v>2180</v>
      </c>
      <c r="H389" s="426">
        <v>533.04831999999999</v>
      </c>
      <c r="I389" s="425">
        <v>18.511869999999998</v>
      </c>
      <c r="J389" s="425">
        <v>62.99</v>
      </c>
      <c r="K389" s="425">
        <v>6039.5884100000003</v>
      </c>
      <c r="L389" s="542" t="s">
        <v>622</v>
      </c>
      <c r="M389" s="423" t="s">
        <v>699</v>
      </c>
      <c r="N389" s="206">
        <v>367.15460000000002</v>
      </c>
      <c r="O389" s="546"/>
      <c r="R389" s="206"/>
    </row>
    <row r="390" spans="1:18" ht="15">
      <c r="A390" s="424">
        <v>90106</v>
      </c>
      <c r="B390" t="str">
        <f t="shared" si="13"/>
        <v>SEVROLL Universal 18 úch.lišta 2,7m striebor</v>
      </c>
      <c r="C390" s="209">
        <f t="shared" si="14"/>
        <v>17.62002</v>
      </c>
      <c r="D390" s="542" t="s">
        <v>4116</v>
      </c>
      <c r="E390" s="542" t="s">
        <v>2648</v>
      </c>
      <c r="F390" s="542" t="s">
        <v>4117</v>
      </c>
      <c r="G390" s="542" t="s">
        <v>2649</v>
      </c>
      <c r="H390" s="426">
        <v>508.13952</v>
      </c>
      <c r="I390" s="425">
        <v>17.62002</v>
      </c>
      <c r="J390" s="425">
        <v>60.05</v>
      </c>
      <c r="K390" s="425">
        <v>5757.3646399999998</v>
      </c>
      <c r="L390" s="542" t="s">
        <v>621</v>
      </c>
      <c r="M390" s="423" t="s">
        <v>699</v>
      </c>
      <c r="N390" s="206">
        <v>367.15460000000002</v>
      </c>
      <c r="O390" s="546"/>
      <c r="R390" s="206"/>
    </row>
    <row r="391" spans="1:18" ht="15">
      <c r="A391" s="424">
        <v>349868</v>
      </c>
      <c r="B391" t="str">
        <f t="shared" si="13"/>
        <v/>
      </c>
      <c r="C391" s="209">
        <f t="shared" si="14"/>
        <v>22.4251</v>
      </c>
      <c r="D391" s="542" t="s">
        <v>3904</v>
      </c>
      <c r="E391" s="542" t="s">
        <v>1607</v>
      </c>
      <c r="F391" s="542" t="s">
        <v>84</v>
      </c>
      <c r="G391" s="542" t="s">
        <v>84</v>
      </c>
      <c r="H391" s="426">
        <v>510.40800000000002</v>
      </c>
      <c r="I391" s="425">
        <v>22.4251</v>
      </c>
      <c r="J391" s="425">
        <v>78.34</v>
      </c>
      <c r="K391" s="425">
        <v>5483.2044100000003</v>
      </c>
      <c r="L391" s="542" t="s">
        <v>622</v>
      </c>
      <c r="M391" s="423" t="s">
        <v>699</v>
      </c>
      <c r="N391" s="206">
        <v>375.3</v>
      </c>
      <c r="O391" s="546"/>
      <c r="R391" s="206"/>
    </row>
    <row r="392" spans="1:18" ht="15">
      <c r="A392" s="424">
        <v>89109</v>
      </c>
      <c r="B392" t="str">
        <f t="shared" si="13"/>
        <v>SEVROLL Gemini horné vedenie 2,35m strieborn</v>
      </c>
      <c r="C392" s="209">
        <f t="shared" si="14"/>
        <v>22.223890000000001</v>
      </c>
      <c r="D392" s="542" t="s">
        <v>4045</v>
      </c>
      <c r="E392" s="542" t="s">
        <v>1913</v>
      </c>
      <c r="F392" s="542" t="s">
        <v>4046</v>
      </c>
      <c r="G392" s="542" t="s">
        <v>1914</v>
      </c>
      <c r="H392" s="426">
        <v>570.76736000000005</v>
      </c>
      <c r="I392" s="425">
        <v>22.223890000000001</v>
      </c>
      <c r="J392" s="425">
        <v>73.72</v>
      </c>
      <c r="K392" s="425">
        <v>6466.9557999999997</v>
      </c>
      <c r="L392" s="542" t="s">
        <v>1025</v>
      </c>
      <c r="M392" s="423" t="s">
        <v>699</v>
      </c>
      <c r="N392" s="206">
        <v>377.60739999999998</v>
      </c>
      <c r="O392" s="546"/>
      <c r="R392" s="206"/>
    </row>
    <row r="393" spans="1:18" ht="15">
      <c r="A393" s="424">
        <v>135538</v>
      </c>
      <c r="B393" t="str">
        <f t="shared" si="13"/>
        <v>SEVROLL Viktoria II úch.list.18mm 2,7m zlatá</v>
      </c>
      <c r="C393" s="209">
        <f t="shared" si="14"/>
        <v>13.13405</v>
      </c>
      <c r="D393" s="542" t="s">
        <v>3015</v>
      </c>
      <c r="E393" s="542" t="s">
        <v>1097</v>
      </c>
      <c r="F393" s="542" t="s">
        <v>3016</v>
      </c>
      <c r="G393" s="542" t="s">
        <v>2663</v>
      </c>
      <c r="H393" s="426">
        <v>0</v>
      </c>
      <c r="I393" s="425">
        <v>13.13405</v>
      </c>
      <c r="J393" s="425">
        <v>0</v>
      </c>
      <c r="K393" s="425">
        <v>0</v>
      </c>
      <c r="L393" s="542" t="s">
        <v>623</v>
      </c>
      <c r="M393" s="423" t="s">
        <v>699</v>
      </c>
      <c r="N393" s="206">
        <v>378.26069999999999</v>
      </c>
      <c r="O393" s="546"/>
      <c r="R393" s="206"/>
    </row>
    <row r="394" spans="1:18" ht="15">
      <c r="A394" s="424">
        <v>308657</v>
      </c>
      <c r="B394" t="str">
        <f t="shared" si="13"/>
        <v>SEVROLL Gemini spodné vedenie 3m oliva</v>
      </c>
      <c r="C394" s="209">
        <f t="shared" si="14"/>
        <v>19.57245</v>
      </c>
      <c r="D394" s="542" t="s">
        <v>4528</v>
      </c>
      <c r="E394" s="542" t="s">
        <v>4529</v>
      </c>
      <c r="F394" s="542" t="s">
        <v>4530</v>
      </c>
      <c r="G394" s="542" t="s">
        <v>1967</v>
      </c>
      <c r="H394" s="426">
        <v>525.21983999999998</v>
      </c>
      <c r="I394" s="425">
        <v>19.57245</v>
      </c>
      <c r="J394" s="425">
        <v>64.650000000000006</v>
      </c>
      <c r="K394" s="425">
        <v>5950.88951</v>
      </c>
      <c r="L394" s="542" t="s">
        <v>621</v>
      </c>
      <c r="M394" s="423" t="s">
        <v>699</v>
      </c>
      <c r="N394" s="206">
        <v>379.56729999999999</v>
      </c>
      <c r="O394" s="546"/>
      <c r="R394" s="206"/>
    </row>
    <row r="395" spans="1:18" ht="15">
      <c r="A395" s="424">
        <v>252569</v>
      </c>
      <c r="B395" t="str">
        <f t="shared" si="13"/>
        <v>SEVROLL Faworyt II úch.liš.2,7m biela lesk</v>
      </c>
      <c r="C395" s="209">
        <f t="shared" si="14"/>
        <v>18.27083</v>
      </c>
      <c r="D395" s="542" t="s">
        <v>4597</v>
      </c>
      <c r="E395" s="542" t="s">
        <v>1812</v>
      </c>
      <c r="F395" s="542" t="s">
        <v>4598</v>
      </c>
      <c r="G395" s="542" t="s">
        <v>1813</v>
      </c>
      <c r="H395" s="426">
        <v>526.64319999999998</v>
      </c>
      <c r="I395" s="425">
        <v>18.27083</v>
      </c>
      <c r="J395" s="425">
        <v>62.24</v>
      </c>
      <c r="K395" s="425">
        <v>5967.0165699999998</v>
      </c>
      <c r="L395" s="542" t="s">
        <v>621</v>
      </c>
      <c r="M395" s="423" t="s">
        <v>699</v>
      </c>
      <c r="N395" s="206">
        <v>380.87389999999999</v>
      </c>
      <c r="O395" s="546"/>
      <c r="R395" s="206"/>
    </row>
    <row r="396" spans="1:18" ht="15">
      <c r="A396" s="424">
        <v>135345</v>
      </c>
      <c r="B396" t="str">
        <f t="shared" si="13"/>
        <v>SEVROLL Julia II úch.lišta 2,7m zlatá</v>
      </c>
      <c r="C396" s="209">
        <f t="shared" si="14"/>
        <v>13.655749999999999</v>
      </c>
      <c r="D396" s="542" t="s">
        <v>3556</v>
      </c>
      <c r="E396" s="542" t="s">
        <v>903</v>
      </c>
      <c r="F396" s="542" t="s">
        <v>3557</v>
      </c>
      <c r="G396" s="542" t="s">
        <v>2059</v>
      </c>
      <c r="H396" s="426">
        <v>0</v>
      </c>
      <c r="I396" s="425">
        <v>13.655749999999999</v>
      </c>
      <c r="J396" s="425">
        <v>0</v>
      </c>
      <c r="K396" s="425">
        <v>0</v>
      </c>
      <c r="L396" s="542" t="s">
        <v>623</v>
      </c>
      <c r="M396" s="423" t="s">
        <v>699</v>
      </c>
      <c r="N396" s="206">
        <v>381.52719999999999</v>
      </c>
      <c r="O396" s="546"/>
      <c r="R396" s="206"/>
    </row>
    <row r="397" spans="1:18" ht="15">
      <c r="A397" s="424">
        <v>135367</v>
      </c>
      <c r="B397" t="str">
        <f t="shared" si="13"/>
        <v>SEVROLL Romeo II úchytová lišta 2,7m zlatá</v>
      </c>
      <c r="C397" s="209">
        <f t="shared" si="14"/>
        <v>13.655749999999999</v>
      </c>
      <c r="D397" s="542" t="s">
        <v>3356</v>
      </c>
      <c r="E397" s="542" t="s">
        <v>2364</v>
      </c>
      <c r="F397" s="542" t="s">
        <v>3356</v>
      </c>
      <c r="G397" s="542" t="s">
        <v>2365</v>
      </c>
      <c r="H397" s="426">
        <v>0</v>
      </c>
      <c r="I397" s="425">
        <v>13.655749999999999</v>
      </c>
      <c r="J397" s="425">
        <v>0</v>
      </c>
      <c r="K397" s="425">
        <v>0</v>
      </c>
      <c r="L397" s="542" t="s">
        <v>623</v>
      </c>
      <c r="M397" s="423" t="s">
        <v>699</v>
      </c>
      <c r="N397" s="206">
        <v>381.52719999999999</v>
      </c>
      <c r="O397" s="546"/>
      <c r="R397" s="206"/>
    </row>
    <row r="398" spans="1:18" ht="15">
      <c r="A398" s="429">
        <v>134487</v>
      </c>
      <c r="B398" t="str">
        <f t="shared" si="13"/>
        <v>SEVROLL-horné vedenie URSUS 1,8M SUROVÁ</v>
      </c>
      <c r="C398" s="209">
        <f t="shared" si="14"/>
        <v>22.633659999999999</v>
      </c>
      <c r="D398" s="542" t="s">
        <v>3181</v>
      </c>
      <c r="E398" s="542" t="s">
        <v>1068</v>
      </c>
      <c r="F398" s="542" t="s">
        <v>1069</v>
      </c>
      <c r="G398" s="542" t="s">
        <v>2799</v>
      </c>
      <c r="H398" s="426">
        <v>584.55060000000003</v>
      </c>
      <c r="I398" s="425">
        <v>22.633659999999999</v>
      </c>
      <c r="J398" s="425">
        <v>71.05</v>
      </c>
      <c r="K398" s="425">
        <v>6571.7817699999996</v>
      </c>
      <c r="L398" s="542" t="s">
        <v>622</v>
      </c>
      <c r="M398" s="430" t="s">
        <v>699</v>
      </c>
      <c r="N398" s="206">
        <v>385.57765999999998</v>
      </c>
      <c r="O398" s="546"/>
      <c r="R398" s="206"/>
    </row>
    <row r="399" spans="1:18" ht="15">
      <c r="A399" s="424">
        <v>349799</v>
      </c>
      <c r="B399" t="str">
        <f t="shared" si="13"/>
        <v/>
      </c>
      <c r="C399" s="209">
        <f t="shared" si="14"/>
        <v>24.19622</v>
      </c>
      <c r="D399" s="542" t="s">
        <v>3918</v>
      </c>
      <c r="E399" s="542" t="s">
        <v>1588</v>
      </c>
      <c r="F399" s="542" t="s">
        <v>84</v>
      </c>
      <c r="G399" s="542" t="s">
        <v>84</v>
      </c>
      <c r="H399" s="426">
        <v>538.93079999999998</v>
      </c>
      <c r="I399" s="425">
        <v>24.19622</v>
      </c>
      <c r="J399" s="425">
        <v>60.39</v>
      </c>
      <c r="K399" s="425">
        <v>5789.6187900000004</v>
      </c>
      <c r="L399" s="542" t="s">
        <v>622</v>
      </c>
      <c r="M399" s="423" t="s">
        <v>699</v>
      </c>
      <c r="N399" s="206">
        <v>385.80840000000001</v>
      </c>
      <c r="O399" s="546"/>
      <c r="R399" s="206"/>
    </row>
    <row r="400" spans="1:18" ht="15">
      <c r="A400" s="427">
        <v>248418</v>
      </c>
      <c r="B400" t="str">
        <f t="shared" si="13"/>
        <v>AST-Prestige maska 4m CE802TX</v>
      </c>
      <c r="C400" s="209" t="e">
        <f t="shared" si="14"/>
        <v>#N/A</v>
      </c>
      <c r="D400" s="542" t="s">
        <v>1333</v>
      </c>
      <c r="E400" s="542" t="s">
        <v>1334</v>
      </c>
      <c r="F400" s="542" t="s">
        <v>1333</v>
      </c>
      <c r="G400" s="542" t="s">
        <v>1335</v>
      </c>
      <c r="H400" s="426">
        <v>424.53935999999999</v>
      </c>
      <c r="I400" s="425" t="e">
        <v>#N/A</v>
      </c>
      <c r="J400" s="425">
        <v>63.628239999999998</v>
      </c>
      <c r="K400" s="425">
        <v>5109.6553000000004</v>
      </c>
      <c r="L400" s="542" t="s">
        <v>622</v>
      </c>
      <c r="M400" s="428" t="s">
        <v>699</v>
      </c>
      <c r="N400" s="206">
        <v>387.47640000000001</v>
      </c>
      <c r="O400" s="546"/>
      <c r="R400" s="206"/>
    </row>
    <row r="401" spans="1:18" ht="15">
      <c r="A401" s="429">
        <v>308673</v>
      </c>
      <c r="B401" t="str">
        <f t="shared" si="13"/>
        <v>SEVROLL dolné vedenie Hide M 6m str.</v>
      </c>
      <c r="C401" s="209">
        <f t="shared" si="14"/>
        <v>19.307300000000001</v>
      </c>
      <c r="D401" s="542" t="s">
        <v>3610</v>
      </c>
      <c r="E401" s="542" t="s">
        <v>2751</v>
      </c>
      <c r="F401" s="542" t="s">
        <v>3611</v>
      </c>
      <c r="G401" s="542" t="s">
        <v>2812</v>
      </c>
      <c r="H401" s="426">
        <v>560.88167999999996</v>
      </c>
      <c r="I401" s="425">
        <v>19.307300000000001</v>
      </c>
      <c r="J401" s="425">
        <v>64.59</v>
      </c>
      <c r="K401" s="425">
        <v>6305.6850800000002</v>
      </c>
      <c r="L401" s="542" t="s">
        <v>622</v>
      </c>
      <c r="M401" s="430" t="s">
        <v>699</v>
      </c>
      <c r="N401" s="206">
        <v>388.1019</v>
      </c>
      <c r="O401" s="546"/>
      <c r="R401" s="206"/>
    </row>
    <row r="402" spans="1:18" ht="15">
      <c r="A402" s="424">
        <v>284974</v>
      </c>
      <c r="B402" t="str">
        <f t="shared" si="13"/>
        <v>SEVROLL Maxim II spodné vedenie 2,5m oliva</v>
      </c>
      <c r="C402" s="209">
        <f t="shared" si="14"/>
        <v>19.9099</v>
      </c>
      <c r="D402" s="542" t="s">
        <v>3482</v>
      </c>
      <c r="E402" s="542" t="s">
        <v>2183</v>
      </c>
      <c r="F402" s="542" t="s">
        <v>3483</v>
      </c>
      <c r="G402" s="542" t="s">
        <v>2184</v>
      </c>
      <c r="H402" s="426">
        <v>572.90239999999994</v>
      </c>
      <c r="I402" s="425">
        <v>19.9099</v>
      </c>
      <c r="J402" s="425">
        <v>67.7</v>
      </c>
      <c r="K402" s="425">
        <v>6491.1464100000003</v>
      </c>
      <c r="L402" s="542" t="s">
        <v>622</v>
      </c>
      <c r="M402" s="423" t="s">
        <v>699</v>
      </c>
      <c r="N402" s="206">
        <v>394.59320000000002</v>
      </c>
      <c r="O402" s="546"/>
      <c r="R402" s="206"/>
    </row>
    <row r="403" spans="1:18" ht="15">
      <c r="A403" s="424">
        <v>276730</v>
      </c>
      <c r="B403" t="str">
        <f t="shared" si="13"/>
        <v>SEVROLL Alfa II lišta 18mm 2,7m biela lesk</v>
      </c>
      <c r="C403" s="209">
        <f t="shared" si="14"/>
        <v>19.355509999999999</v>
      </c>
      <c r="D403" s="542" t="s">
        <v>4683</v>
      </c>
      <c r="E403" s="542" t="s">
        <v>1468</v>
      </c>
      <c r="F403" s="542" t="s">
        <v>4684</v>
      </c>
      <c r="G403" s="542" t="s">
        <v>1573</v>
      </c>
      <c r="H403" s="426">
        <v>547.99360000000001</v>
      </c>
      <c r="I403" s="425">
        <v>19.355509999999999</v>
      </c>
      <c r="J403" s="425">
        <v>68.13</v>
      </c>
      <c r="K403" s="425">
        <v>6208.9226399999998</v>
      </c>
      <c r="L403" s="542" t="s">
        <v>621</v>
      </c>
      <c r="M403" s="423" t="s">
        <v>699</v>
      </c>
      <c r="N403" s="206">
        <v>395.89980000000003</v>
      </c>
      <c r="O403" s="546"/>
      <c r="R403" s="206"/>
    </row>
    <row r="404" spans="1:18" ht="15">
      <c r="A404" s="424">
        <v>212762</v>
      </c>
      <c r="B404" t="str">
        <f t="shared" si="13"/>
        <v>SEVROLL Line spodné vedenie 2m alu surová</v>
      </c>
      <c r="C404" s="209">
        <f t="shared" si="14"/>
        <v>20.030419999999999</v>
      </c>
      <c r="D404" s="542" t="s">
        <v>3536</v>
      </c>
      <c r="E404" s="542" t="s">
        <v>928</v>
      </c>
      <c r="F404" s="542" t="s">
        <v>3537</v>
      </c>
      <c r="G404" s="542" t="s">
        <v>2076</v>
      </c>
      <c r="H404" s="426">
        <v>577.17247999999995</v>
      </c>
      <c r="I404" s="425">
        <v>20.030419999999999</v>
      </c>
      <c r="J404" s="425">
        <v>68.209999999999994</v>
      </c>
      <c r="K404" s="425">
        <v>6539.5276199999998</v>
      </c>
      <c r="L404" s="542" t="s">
        <v>622</v>
      </c>
      <c r="M404" s="423" t="s">
        <v>699</v>
      </c>
      <c r="N404" s="206">
        <v>397.20639999999997</v>
      </c>
      <c r="O404" s="546"/>
      <c r="R404" s="206"/>
    </row>
    <row r="405" spans="1:18" ht="15">
      <c r="A405" s="424">
        <v>135534</v>
      </c>
      <c r="B405" t="str">
        <f t="shared" si="13"/>
        <v>SEVROLL Victoria II úch.liš. 18mm 2,7m oliva</v>
      </c>
      <c r="C405" s="209">
        <f t="shared" si="14"/>
        <v>20.500450000000001</v>
      </c>
      <c r="D405" s="542" t="s">
        <v>4093</v>
      </c>
      <c r="E405" s="542" t="s">
        <v>1096</v>
      </c>
      <c r="F405" s="542" t="s">
        <v>4094</v>
      </c>
      <c r="G405" s="542" t="s">
        <v>2660</v>
      </c>
      <c r="H405" s="426">
        <v>550.12864000000002</v>
      </c>
      <c r="I405" s="425">
        <v>20.500450000000001</v>
      </c>
      <c r="J405" s="425">
        <v>132.72999999999999</v>
      </c>
      <c r="K405" s="425">
        <v>6233.1132600000001</v>
      </c>
      <c r="L405" s="542" t="s">
        <v>621</v>
      </c>
      <c r="M405" s="423" t="s">
        <v>699</v>
      </c>
      <c r="N405" s="206">
        <v>397.20639999999997</v>
      </c>
      <c r="O405" s="546"/>
      <c r="R405" s="206"/>
    </row>
    <row r="406" spans="1:18" ht="15">
      <c r="A406" s="424">
        <v>163134</v>
      </c>
      <c r="B406" t="str">
        <f t="shared" si="13"/>
        <v>SEVROLL-MASKA DOUBLER II 6 M OLIVA</v>
      </c>
      <c r="C406" s="209">
        <f t="shared" si="14"/>
        <v>20.05453</v>
      </c>
      <c r="D406" s="542" t="s">
        <v>3852</v>
      </c>
      <c r="E406" s="542" t="s">
        <v>1089</v>
      </c>
      <c r="F406" s="542" t="s">
        <v>683</v>
      </c>
      <c r="G406" s="542" t="s">
        <v>1690</v>
      </c>
      <c r="H406" s="426">
        <v>577.88415999999995</v>
      </c>
      <c r="I406" s="425">
        <v>20.05453</v>
      </c>
      <c r="J406" s="425">
        <v>68.290000000000006</v>
      </c>
      <c r="K406" s="425">
        <v>6547.5911599999999</v>
      </c>
      <c r="L406" s="542" t="s">
        <v>622</v>
      </c>
      <c r="M406" s="423" t="s">
        <v>699</v>
      </c>
      <c r="N406" s="206">
        <v>397.85969999999998</v>
      </c>
      <c r="O406" s="546"/>
      <c r="R406" s="206"/>
    </row>
    <row r="407" spans="1:18" ht="15">
      <c r="A407" s="424">
        <v>135342</v>
      </c>
      <c r="B407" t="str">
        <f t="shared" si="13"/>
        <v>SEVROLL Julia II úch.lišta 2,7m oliva</v>
      </c>
      <c r="C407" s="209">
        <f t="shared" si="14"/>
        <v>20.657129999999999</v>
      </c>
      <c r="D407" s="542" t="s">
        <v>4450</v>
      </c>
      <c r="E407" s="542" t="s">
        <v>2055</v>
      </c>
      <c r="F407" s="542" t="s">
        <v>4451</v>
      </c>
      <c r="G407" s="542" t="s">
        <v>2056</v>
      </c>
      <c r="H407" s="426">
        <v>554.39872000000003</v>
      </c>
      <c r="I407" s="425">
        <v>20.657129999999999</v>
      </c>
      <c r="J407" s="425">
        <v>73.989999999999995</v>
      </c>
      <c r="K407" s="425">
        <v>6281.49449</v>
      </c>
      <c r="L407" s="542" t="s">
        <v>621</v>
      </c>
      <c r="M407" s="423" t="s">
        <v>699</v>
      </c>
      <c r="N407" s="206">
        <v>400.47289999999998</v>
      </c>
      <c r="O407" s="546"/>
      <c r="R407" s="206"/>
    </row>
    <row r="408" spans="1:18" ht="15">
      <c r="A408" s="424">
        <v>135365</v>
      </c>
      <c r="B408" t="str">
        <f t="shared" si="13"/>
        <v>SEVROLL Romeo II úch.lišta 2,7m oliva</v>
      </c>
      <c r="C408" s="209">
        <f t="shared" si="14"/>
        <v>20.657129999999999</v>
      </c>
      <c r="D408" s="542" t="s">
        <v>4295</v>
      </c>
      <c r="E408" s="542" t="s">
        <v>2360</v>
      </c>
      <c r="F408" s="542" t="s">
        <v>4296</v>
      </c>
      <c r="G408" s="542" t="s">
        <v>2361</v>
      </c>
      <c r="H408" s="426">
        <v>554.39872000000003</v>
      </c>
      <c r="I408" s="425">
        <v>20.657129999999999</v>
      </c>
      <c r="J408" s="425">
        <v>73.989999999999995</v>
      </c>
      <c r="K408" s="425">
        <v>6281.49449</v>
      </c>
      <c r="L408" s="542" t="s">
        <v>621</v>
      </c>
      <c r="M408" s="423" t="s">
        <v>699</v>
      </c>
      <c r="N408" s="206">
        <v>400.47289999999998</v>
      </c>
      <c r="O408" s="546"/>
      <c r="R408" s="206"/>
    </row>
    <row r="409" spans="1:18" ht="15">
      <c r="A409" s="424">
        <v>224157</v>
      </c>
      <c r="B409" t="str">
        <f t="shared" si="13"/>
        <v>SEVROLL spod.vod.lišta Simple/Blue 2,5(10mm)oliva</v>
      </c>
      <c r="C409" s="209">
        <f t="shared" si="14"/>
        <v>20.436</v>
      </c>
      <c r="D409" s="542" t="s">
        <v>3291</v>
      </c>
      <c r="E409" s="542" t="s">
        <v>3292</v>
      </c>
      <c r="F409" s="542" t="s">
        <v>3294</v>
      </c>
      <c r="G409" s="542" t="s">
        <v>3293</v>
      </c>
      <c r="H409" s="426">
        <v>473.62860000000001</v>
      </c>
      <c r="I409" s="425">
        <v>20.436</v>
      </c>
      <c r="J409" s="425">
        <v>62.15</v>
      </c>
      <c r="K409" s="425">
        <v>5088.0911599999999</v>
      </c>
      <c r="L409" s="542" t="s">
        <v>622</v>
      </c>
      <c r="M409" s="423" t="s">
        <v>699</v>
      </c>
      <c r="N409" s="206">
        <v>400.82040000000001</v>
      </c>
      <c r="O409" s="546"/>
      <c r="R409" s="206"/>
    </row>
    <row r="410" spans="1:18" ht="15">
      <c r="A410" s="424">
        <v>90105</v>
      </c>
      <c r="B410" t="str">
        <f t="shared" si="13"/>
        <v>SEVROLL Universal 18 úch.lišta 2,7m oliva</v>
      </c>
      <c r="C410" s="209">
        <f t="shared" si="14"/>
        <v>19.331410000000002</v>
      </c>
      <c r="D410" s="542" t="s">
        <v>4118</v>
      </c>
      <c r="E410" s="542" t="s">
        <v>2646</v>
      </c>
      <c r="F410" s="542" t="s">
        <v>4119</v>
      </c>
      <c r="G410" s="542" t="s">
        <v>2647</v>
      </c>
      <c r="H410" s="426">
        <v>557.24544000000003</v>
      </c>
      <c r="I410" s="425">
        <v>19.331410000000002</v>
      </c>
      <c r="J410" s="425">
        <v>65.849999999999994</v>
      </c>
      <c r="K410" s="425">
        <v>6313.7486200000003</v>
      </c>
      <c r="L410" s="542" t="s">
        <v>621</v>
      </c>
      <c r="M410" s="423" t="s">
        <v>699</v>
      </c>
      <c r="N410" s="206">
        <v>402.43279999999999</v>
      </c>
      <c r="O410" s="546"/>
      <c r="R410" s="206"/>
    </row>
    <row r="411" spans="1:18" ht="15">
      <c r="A411" s="429">
        <v>223507</v>
      </c>
      <c r="B411" t="str">
        <f t="shared" si="13"/>
        <v>SEVROLL horné vedenie Herkules 2 1,5m alu</v>
      </c>
      <c r="C411" s="209">
        <f t="shared" si="14"/>
        <v>26.201049999999999</v>
      </c>
      <c r="D411" s="542" t="s">
        <v>3663</v>
      </c>
      <c r="E411" s="542" t="s">
        <v>2763</v>
      </c>
      <c r="F411" s="542" t="s">
        <v>3664</v>
      </c>
      <c r="G411" s="542" t="s">
        <v>2838</v>
      </c>
      <c r="H411" s="426">
        <v>639.77808000000005</v>
      </c>
      <c r="I411" s="425">
        <v>26.201049999999999</v>
      </c>
      <c r="J411" s="425">
        <v>74.89</v>
      </c>
      <c r="K411" s="425">
        <v>7192.6740300000001</v>
      </c>
      <c r="L411" s="542" t="s">
        <v>622</v>
      </c>
      <c r="M411" s="430" t="s">
        <v>699</v>
      </c>
      <c r="N411" s="206">
        <v>403.24734000000001</v>
      </c>
      <c r="O411" s="546"/>
      <c r="R411" s="206"/>
    </row>
    <row r="412" spans="1:18" ht="15">
      <c r="A412" s="424">
        <v>224120</v>
      </c>
      <c r="B412" t="str">
        <f t="shared" si="13"/>
        <v>SEVROLL horné vedenie Simple 2,5m oliva</v>
      </c>
      <c r="C412" s="209">
        <f t="shared" si="14"/>
        <v>25.28614</v>
      </c>
      <c r="D412" s="542" t="s">
        <v>3350</v>
      </c>
      <c r="E412" s="542" t="s">
        <v>2372</v>
      </c>
      <c r="F412" s="542" t="s">
        <v>3351</v>
      </c>
      <c r="G412" s="542" t="s">
        <v>2373</v>
      </c>
      <c r="H412" s="426">
        <v>546.43679999999995</v>
      </c>
      <c r="I412" s="425">
        <v>25.28614</v>
      </c>
      <c r="J412" s="425">
        <v>66.7</v>
      </c>
      <c r="K412" s="425">
        <v>5870.2541499999998</v>
      </c>
      <c r="L412" s="542" t="s">
        <v>622</v>
      </c>
      <c r="M412" s="423" t="s">
        <v>699</v>
      </c>
      <c r="N412" s="206">
        <v>407.57580000000002</v>
      </c>
      <c r="O412" s="546"/>
      <c r="R412" s="206"/>
    </row>
    <row r="413" spans="1:18" ht="15">
      <c r="A413" s="424">
        <v>349869</v>
      </c>
      <c r="B413" t="str">
        <f t="shared" si="13"/>
        <v/>
      </c>
      <c r="C413" s="209">
        <f t="shared" si="14"/>
        <v>25.068159999999999</v>
      </c>
      <c r="D413" s="542" t="s">
        <v>3905</v>
      </c>
      <c r="E413" s="542" t="s">
        <v>1607</v>
      </c>
      <c r="F413" s="542" t="s">
        <v>84</v>
      </c>
      <c r="G413" s="542" t="s">
        <v>84</v>
      </c>
      <c r="H413" s="426">
        <v>571.20659999999998</v>
      </c>
      <c r="I413" s="425">
        <v>25.068159999999999</v>
      </c>
      <c r="J413" s="425">
        <v>87.17</v>
      </c>
      <c r="K413" s="425">
        <v>6136.3508199999997</v>
      </c>
      <c r="L413" s="542" t="s">
        <v>622</v>
      </c>
      <c r="M413" s="423" t="s">
        <v>699</v>
      </c>
      <c r="N413" s="206">
        <v>409.82760000000002</v>
      </c>
      <c r="O413" s="546"/>
      <c r="R413" s="206"/>
    </row>
    <row r="414" spans="1:18" ht="15">
      <c r="A414" s="424">
        <v>98072</v>
      </c>
      <c r="B414" t="str">
        <f t="shared" si="13"/>
        <v>SEVROLL Gemini Gemini-2 úchytová lišta 2,7m</v>
      </c>
      <c r="C414" s="209">
        <f t="shared" si="14"/>
        <v>22.464929999999999</v>
      </c>
      <c r="D414" s="542" t="s">
        <v>3667</v>
      </c>
      <c r="E414" s="542" t="s">
        <v>1101</v>
      </c>
      <c r="F414" s="542" t="s">
        <v>3668</v>
      </c>
      <c r="G414" s="542" t="s">
        <v>1976</v>
      </c>
      <c r="H414" s="426">
        <v>602.79295999999999</v>
      </c>
      <c r="I414" s="425">
        <v>22.464929999999999</v>
      </c>
      <c r="J414" s="425">
        <v>89.03</v>
      </c>
      <c r="K414" s="425">
        <v>6829.8149199999998</v>
      </c>
      <c r="L414" s="542" t="s">
        <v>622</v>
      </c>
      <c r="M414" s="423" t="s">
        <v>699</v>
      </c>
      <c r="N414" s="206">
        <v>414.19220000000001</v>
      </c>
      <c r="O414" s="546"/>
      <c r="R414" s="206"/>
    </row>
    <row r="415" spans="1:18" ht="15">
      <c r="A415" s="424">
        <v>98075</v>
      </c>
      <c r="B415" t="str">
        <f t="shared" si="13"/>
        <v>SEVROLL System 10 II úch.lišta 2,7m zlatá</v>
      </c>
      <c r="C415" s="209">
        <f t="shared" si="14"/>
        <v>21.790019999999998</v>
      </c>
      <c r="D415" s="542" t="s">
        <v>3242</v>
      </c>
      <c r="E415" s="542" t="s">
        <v>1296</v>
      </c>
      <c r="F415" s="542" t="s">
        <v>3243</v>
      </c>
      <c r="G415" s="542" t="s">
        <v>2548</v>
      </c>
      <c r="H415" s="426">
        <v>602.79295999999999</v>
      </c>
      <c r="I415" s="425">
        <v>21.790019999999998</v>
      </c>
      <c r="J415" s="425">
        <v>84.76</v>
      </c>
      <c r="K415" s="425">
        <v>6829.8149199999998</v>
      </c>
      <c r="L415" s="542" t="s">
        <v>622</v>
      </c>
      <c r="M415" s="423" t="s">
        <v>699</v>
      </c>
      <c r="N415" s="206">
        <v>414.19220000000001</v>
      </c>
      <c r="O415" s="546"/>
      <c r="R415" s="206"/>
    </row>
    <row r="416" spans="1:18" ht="15">
      <c r="A416" s="424">
        <v>205160</v>
      </c>
      <c r="B416" t="str">
        <f t="shared" si="13"/>
        <v>SEVROLL spoj.lišta H10 3m oliva tm.kartáč.</v>
      </c>
      <c r="C416" s="209">
        <f t="shared" si="14"/>
        <v>21.452559999999998</v>
      </c>
      <c r="D416" s="542" t="s">
        <v>3262</v>
      </c>
      <c r="E416" s="542" t="s">
        <v>2507</v>
      </c>
      <c r="F416" s="542" t="s">
        <v>3263</v>
      </c>
      <c r="G416" s="542" t="s">
        <v>2508</v>
      </c>
      <c r="H416" s="426">
        <v>605.63968</v>
      </c>
      <c r="I416" s="425">
        <v>21.452559999999998</v>
      </c>
      <c r="J416" s="425">
        <v>73.459999999999994</v>
      </c>
      <c r="K416" s="425">
        <v>6862.0690500000001</v>
      </c>
      <c r="L416" s="542" t="s">
        <v>622</v>
      </c>
      <c r="M416" s="423" t="s">
        <v>699</v>
      </c>
      <c r="N416" s="206">
        <v>416.80540000000002</v>
      </c>
      <c r="O416" s="546"/>
      <c r="R416" s="206"/>
    </row>
    <row r="417" spans="1:18" ht="15">
      <c r="A417" s="424">
        <v>89255</v>
      </c>
      <c r="B417" t="str">
        <f t="shared" si="13"/>
        <v>SEVROLL spodná krycia lišta 2,35m zlatá</v>
      </c>
      <c r="C417" s="209">
        <f t="shared" si="14"/>
        <v>21.910540000000001</v>
      </c>
      <c r="D417" s="542" t="s">
        <v>3303</v>
      </c>
      <c r="E417" s="542" t="s">
        <v>1110</v>
      </c>
      <c r="F417" s="542" t="s">
        <v>3304</v>
      </c>
      <c r="G417" s="542" t="s">
        <v>2444</v>
      </c>
      <c r="H417" s="426">
        <v>587.84767999999997</v>
      </c>
      <c r="I417" s="425">
        <v>21.910540000000001</v>
      </c>
      <c r="J417" s="425">
        <v>75.151510000000002</v>
      </c>
      <c r="K417" s="425">
        <v>6660.4806699999999</v>
      </c>
      <c r="L417" s="542" t="s">
        <v>622</v>
      </c>
      <c r="M417" s="423" t="s">
        <v>699</v>
      </c>
      <c r="N417" s="206">
        <v>424.64499999999998</v>
      </c>
      <c r="O417" s="546"/>
      <c r="R417" s="206"/>
    </row>
    <row r="418" spans="1:18" ht="15">
      <c r="A418" s="424">
        <v>98062</v>
      </c>
      <c r="B418" t="str">
        <f t="shared" si="13"/>
        <v>SEVROLL-ÚCH.LIŠTA PRINCE 01 2,7M STR.</v>
      </c>
      <c r="C418" s="209">
        <f t="shared" si="14"/>
        <v>21.139209999999999</v>
      </c>
      <c r="D418" s="542" t="s">
        <v>3388</v>
      </c>
      <c r="E418" s="542" t="s">
        <v>2320</v>
      </c>
      <c r="F418" s="542" t="s">
        <v>3389</v>
      </c>
      <c r="G418" s="542" t="s">
        <v>2321</v>
      </c>
      <c r="H418" s="426">
        <v>613.24019999999996</v>
      </c>
      <c r="I418" s="425">
        <v>21.139209999999999</v>
      </c>
      <c r="J418" s="425">
        <v>71.48</v>
      </c>
      <c r="K418" s="425">
        <v>6894.3232099999996</v>
      </c>
      <c r="L418" s="542" t="s">
        <v>622</v>
      </c>
      <c r="M418" s="423" t="s">
        <v>699</v>
      </c>
      <c r="N418" s="206">
        <v>424.70337999999998</v>
      </c>
      <c r="O418" s="546"/>
      <c r="R418" s="206"/>
    </row>
    <row r="419" spans="1:18" ht="15">
      <c r="A419" s="424">
        <v>163107</v>
      </c>
      <c r="B419" t="str">
        <f t="shared" si="13"/>
        <v>SEVROLL Doubler II spodné vedenie 2,35m str.</v>
      </c>
      <c r="C419" s="209">
        <f t="shared" si="14"/>
        <v>21.934640000000002</v>
      </c>
      <c r="D419" s="542" t="s">
        <v>4645</v>
      </c>
      <c r="E419" s="542" t="s">
        <v>1698</v>
      </c>
      <c r="F419" s="542" t="s">
        <v>4646</v>
      </c>
      <c r="G419" s="542" t="s">
        <v>1699</v>
      </c>
      <c r="H419" s="426">
        <v>588.55935999999997</v>
      </c>
      <c r="I419" s="425">
        <v>21.934640000000002</v>
      </c>
      <c r="J419" s="425">
        <v>75.58</v>
      </c>
      <c r="K419" s="425">
        <v>6668.5442000000003</v>
      </c>
      <c r="L419" s="542" t="s">
        <v>621</v>
      </c>
      <c r="M419" s="423" t="s">
        <v>699</v>
      </c>
      <c r="N419" s="206">
        <v>425.29829999999998</v>
      </c>
      <c r="O419" s="546"/>
      <c r="R419" s="206"/>
    </row>
    <row r="420" spans="1:18" ht="15">
      <c r="A420" s="424">
        <v>349800</v>
      </c>
      <c r="B420" t="str">
        <f t="shared" si="13"/>
        <v/>
      </c>
      <c r="C420" s="209">
        <f t="shared" si="14"/>
        <v>26.648540000000001</v>
      </c>
      <c r="D420" s="542" t="s">
        <v>3919</v>
      </c>
      <c r="E420" s="542" t="s">
        <v>1587</v>
      </c>
      <c r="F420" s="542" t="s">
        <v>84</v>
      </c>
      <c r="G420" s="542" t="s">
        <v>84</v>
      </c>
      <c r="H420" s="426">
        <v>593.72460000000001</v>
      </c>
      <c r="I420" s="425">
        <v>26.648540000000001</v>
      </c>
      <c r="J420" s="425">
        <v>68.099999999999994</v>
      </c>
      <c r="K420" s="425">
        <v>6378.2569000000003</v>
      </c>
      <c r="L420" s="542" t="s">
        <v>622</v>
      </c>
      <c r="M420" s="423" t="s">
        <v>699</v>
      </c>
      <c r="N420" s="206">
        <v>425.59019999999998</v>
      </c>
      <c r="O420" s="546"/>
      <c r="R420" s="206"/>
    </row>
    <row r="421" spans="1:18" ht="15">
      <c r="A421" s="424">
        <v>224013</v>
      </c>
      <c r="B421" t="str">
        <f t="shared" si="13"/>
        <v>SEVROLL Simple horné vedenie 3m strieborná</v>
      </c>
      <c r="C421" s="209">
        <f t="shared" si="14"/>
        <v>26.784780000000001</v>
      </c>
      <c r="D421" s="542" t="s">
        <v>3057</v>
      </c>
      <c r="E421" s="542" t="s">
        <v>2382</v>
      </c>
      <c r="F421" s="542" t="s">
        <v>3058</v>
      </c>
      <c r="G421" s="542" t="s">
        <v>2383</v>
      </c>
      <c r="H421" s="426">
        <v>578.71259999999995</v>
      </c>
      <c r="I421" s="425">
        <v>26.784780000000001</v>
      </c>
      <c r="J421" s="425">
        <v>69.58</v>
      </c>
      <c r="K421" s="425">
        <v>6216.9861799999999</v>
      </c>
      <c r="L421" s="542" t="s">
        <v>622</v>
      </c>
      <c r="M421" s="423" t="s">
        <v>699</v>
      </c>
      <c r="N421" s="206">
        <v>425.59019999999998</v>
      </c>
      <c r="O421" s="546"/>
      <c r="R421" s="206"/>
    </row>
    <row r="422" spans="1:18" ht="15">
      <c r="A422" s="424">
        <v>102832</v>
      </c>
      <c r="B422" t="str">
        <f t="shared" si="13"/>
        <v>SEVROLL-SPOJ.LIŠTA H25 2,5M str.</v>
      </c>
      <c r="C422" s="209">
        <f t="shared" si="14"/>
        <v>20.464300000000001</v>
      </c>
      <c r="D422" s="542" t="s">
        <v>4362</v>
      </c>
      <c r="E422" s="542" t="s">
        <v>2223</v>
      </c>
      <c r="F422" s="542" t="s">
        <v>4363</v>
      </c>
      <c r="G422" s="542" t="s">
        <v>2224</v>
      </c>
      <c r="H422" s="426">
        <v>589.27103999999997</v>
      </c>
      <c r="I422" s="425">
        <v>20.464300000000001</v>
      </c>
      <c r="J422" s="425">
        <v>69.64</v>
      </c>
      <c r="K422" s="425">
        <v>6676.6077400000004</v>
      </c>
      <c r="L422" s="542" t="s">
        <v>621</v>
      </c>
      <c r="M422" s="423" t="s">
        <v>699</v>
      </c>
      <c r="N422" s="206">
        <v>425.95159999999998</v>
      </c>
      <c r="O422" s="546"/>
      <c r="R422" s="206"/>
    </row>
    <row r="423" spans="1:18" ht="15">
      <c r="A423" s="424">
        <v>98058</v>
      </c>
      <c r="B423" t="str">
        <f t="shared" si="13"/>
        <v>SEVROLL Gemini spodné vedenie 4,05m striebor</v>
      </c>
      <c r="C423" s="209">
        <f t="shared" si="14"/>
        <v>21.982849999999999</v>
      </c>
      <c r="D423" s="542" t="s">
        <v>4520</v>
      </c>
      <c r="E423" s="542" t="s">
        <v>4521</v>
      </c>
      <c r="F423" s="542" t="s">
        <v>4522</v>
      </c>
      <c r="G423" s="542" t="s">
        <v>1971</v>
      </c>
      <c r="H423" s="426">
        <v>589.98271999999997</v>
      </c>
      <c r="I423" s="425">
        <v>21.982849999999999</v>
      </c>
      <c r="J423" s="425">
        <v>72.78</v>
      </c>
      <c r="K423" s="425">
        <v>6684.6712799999996</v>
      </c>
      <c r="L423" s="542" t="s">
        <v>621</v>
      </c>
      <c r="M423" s="423" t="s">
        <v>699</v>
      </c>
      <c r="N423" s="206">
        <v>426.60489999999999</v>
      </c>
      <c r="O423" s="546"/>
      <c r="R423" s="206"/>
    </row>
    <row r="424" spans="1:18" ht="15">
      <c r="A424" s="424">
        <v>276739</v>
      </c>
      <c r="B424" t="str">
        <f t="shared" si="13"/>
        <v>SEVROLL spojovacia lišta H10 3m biela lesk</v>
      </c>
      <c r="C424" s="209">
        <f t="shared" si="14"/>
        <v>20.150939999999999</v>
      </c>
      <c r="D424" s="542" t="s">
        <v>4213</v>
      </c>
      <c r="E424" s="542" t="s">
        <v>1472</v>
      </c>
      <c r="F424" s="542" t="s">
        <v>4214</v>
      </c>
      <c r="G424" s="542" t="s">
        <v>2501</v>
      </c>
      <c r="H424" s="426">
        <v>592.82943999999998</v>
      </c>
      <c r="I424" s="425">
        <v>20.150939999999999</v>
      </c>
      <c r="J424" s="425">
        <v>70.06</v>
      </c>
      <c r="K424" s="425">
        <v>6716.9254099999998</v>
      </c>
      <c r="L424" s="542" t="s">
        <v>621</v>
      </c>
      <c r="M424" s="423" t="s">
        <v>699</v>
      </c>
      <c r="N424" s="206">
        <v>427.91149999999999</v>
      </c>
      <c r="O424" s="546"/>
      <c r="R424" s="206"/>
    </row>
    <row r="425" spans="1:18" ht="15">
      <c r="A425" s="424">
        <v>205170</v>
      </c>
      <c r="B425" t="str">
        <f t="shared" ref="B425:B488" si="15">IF($A$2=1,D425,IF($A$2=2,F425,IF($A$2=3,G425,IF($A$2=4,E425,"zadat jazyk"))))</f>
        <v>SEVROLL sp.krycia lišta 1,7m oliva tm.kartáč</v>
      </c>
      <c r="C425" s="209">
        <f t="shared" si="14"/>
        <v>20.633019999999998</v>
      </c>
      <c r="D425" s="542" t="s">
        <v>3307</v>
      </c>
      <c r="E425" s="542" t="s">
        <v>1076</v>
      </c>
      <c r="F425" s="542" t="s">
        <v>3308</v>
      </c>
      <c r="G425" s="542" t="s">
        <v>2435</v>
      </c>
      <c r="H425" s="426">
        <v>594.25279999999998</v>
      </c>
      <c r="I425" s="425">
        <v>20.633019999999998</v>
      </c>
      <c r="J425" s="425">
        <v>77.3</v>
      </c>
      <c r="K425" s="425">
        <v>6733.05249</v>
      </c>
      <c r="L425" s="542" t="s">
        <v>622</v>
      </c>
      <c r="M425" s="423" t="s">
        <v>699</v>
      </c>
      <c r="N425" s="206">
        <v>429.21809999999999</v>
      </c>
      <c r="O425" s="546"/>
      <c r="R425" s="206"/>
    </row>
    <row r="426" spans="1:18" ht="15">
      <c r="A426" s="429">
        <v>225358</v>
      </c>
      <c r="B426" t="str">
        <f t="shared" si="15"/>
        <v>SEVROLL Exclusive horné vedenie 1,8m oliva</v>
      </c>
      <c r="C426" s="209">
        <f t="shared" si="14"/>
        <v>22.48903</v>
      </c>
      <c r="D426" s="542" t="s">
        <v>3794</v>
      </c>
      <c r="E426" s="542" t="s">
        <v>1323</v>
      </c>
      <c r="F426" s="542" t="s">
        <v>3795</v>
      </c>
      <c r="G426" s="542" t="s">
        <v>2846</v>
      </c>
      <c r="H426" s="426">
        <v>652.6884</v>
      </c>
      <c r="I426" s="425">
        <v>22.48903</v>
      </c>
      <c r="J426" s="425">
        <v>76.5</v>
      </c>
      <c r="K426" s="425">
        <v>7337.8176899999999</v>
      </c>
      <c r="L426" s="542" t="s">
        <v>622</v>
      </c>
      <c r="M426" s="430" t="s">
        <v>699</v>
      </c>
      <c r="N426" s="206">
        <v>430.38292000000001</v>
      </c>
      <c r="O426" s="546"/>
      <c r="R426" s="206"/>
    </row>
    <row r="427" spans="1:18" ht="15">
      <c r="A427" s="424">
        <v>98071</v>
      </c>
      <c r="B427" t="str">
        <f t="shared" si="15"/>
        <v>SEVROLL Gemini-2 úch.lišta 2,7m oliva</v>
      </c>
      <c r="C427" s="209">
        <f t="shared" si="14"/>
        <v>22.464929999999999</v>
      </c>
      <c r="D427" s="542" t="s">
        <v>4512</v>
      </c>
      <c r="E427" s="542" t="s">
        <v>1100</v>
      </c>
      <c r="F427" s="542" t="s">
        <v>4513</v>
      </c>
      <c r="G427" s="542" t="s">
        <v>1974</v>
      </c>
      <c r="H427" s="426">
        <v>602.79295999999999</v>
      </c>
      <c r="I427" s="425">
        <v>22.464929999999999</v>
      </c>
      <c r="J427" s="425">
        <v>89.03</v>
      </c>
      <c r="K427" s="425">
        <v>6829.8149199999998</v>
      </c>
      <c r="L427" s="542" t="s">
        <v>621</v>
      </c>
      <c r="M427" s="423" t="s">
        <v>699</v>
      </c>
      <c r="N427" s="206">
        <v>431.8313</v>
      </c>
      <c r="O427" s="546"/>
      <c r="R427" s="206"/>
    </row>
    <row r="428" spans="1:18" ht="15">
      <c r="A428" s="424">
        <v>98074</v>
      </c>
      <c r="B428" t="str">
        <f t="shared" si="15"/>
        <v>SEVROLL System 10 II úch.lišta 2,7m oliva</v>
      </c>
      <c r="C428" s="209">
        <f t="shared" si="14"/>
        <v>21.790019999999998</v>
      </c>
      <c r="D428" s="542" t="s">
        <v>4183</v>
      </c>
      <c r="E428" s="542" t="s">
        <v>1295</v>
      </c>
      <c r="F428" s="542" t="s">
        <v>4184</v>
      </c>
      <c r="G428" s="542" t="s">
        <v>2546</v>
      </c>
      <c r="H428" s="426">
        <v>602.79295999999999</v>
      </c>
      <c r="I428" s="425">
        <v>21.790019999999998</v>
      </c>
      <c r="J428" s="425">
        <v>84.76</v>
      </c>
      <c r="K428" s="425">
        <v>6829.8149199999998</v>
      </c>
      <c r="L428" s="542" t="s">
        <v>621</v>
      </c>
      <c r="M428" s="423" t="s">
        <v>699</v>
      </c>
      <c r="N428" s="206">
        <v>435.09780000000001</v>
      </c>
      <c r="O428" s="546"/>
      <c r="R428" s="206"/>
    </row>
    <row r="429" spans="1:18" ht="15">
      <c r="A429" s="424">
        <v>351517</v>
      </c>
      <c r="B429" t="str">
        <f t="shared" si="15"/>
        <v>SEVROLL Gemini spodné vedenie 3m biela lesk</v>
      </c>
      <c r="C429" s="209">
        <f t="shared" si="14"/>
        <v>22.00695</v>
      </c>
      <c r="D429" s="542" t="s">
        <v>3675</v>
      </c>
      <c r="E429" s="542" t="s">
        <v>3676</v>
      </c>
      <c r="F429" s="542" t="s">
        <v>3677</v>
      </c>
      <c r="G429" s="542" t="s">
        <v>84</v>
      </c>
      <c r="H429" s="426">
        <v>634.10688000000005</v>
      </c>
      <c r="I429" s="425">
        <v>22.00695</v>
      </c>
      <c r="J429" s="425">
        <v>75.78</v>
      </c>
      <c r="K429" s="425">
        <v>7184.61049</v>
      </c>
      <c r="L429" s="542" t="s">
        <v>622</v>
      </c>
      <c r="M429" s="423" t="s">
        <v>699</v>
      </c>
      <c r="N429" s="206">
        <v>436.40440000000001</v>
      </c>
      <c r="O429" s="546"/>
      <c r="R429" s="206"/>
    </row>
    <row r="430" spans="1:18" ht="15">
      <c r="A430" s="424">
        <v>205161</v>
      </c>
      <c r="B430" t="str">
        <f t="shared" si="15"/>
        <v>SEVROLL spoj.lišta H10 3m čierna kartáč</v>
      </c>
      <c r="C430" s="209">
        <f t="shared" si="14"/>
        <v>21.452559999999998</v>
      </c>
      <c r="D430" s="542" t="s">
        <v>4211</v>
      </c>
      <c r="E430" s="542" t="s">
        <v>2502</v>
      </c>
      <c r="F430" s="542" t="s">
        <v>4212</v>
      </c>
      <c r="G430" s="542" t="s">
        <v>2503</v>
      </c>
      <c r="H430" s="426">
        <v>605.63968</v>
      </c>
      <c r="I430" s="425">
        <v>21.452559999999998</v>
      </c>
      <c r="J430" s="425">
        <v>73.459999999999994</v>
      </c>
      <c r="K430" s="425">
        <v>6862.0690500000001</v>
      </c>
      <c r="L430" s="542" t="s">
        <v>621</v>
      </c>
      <c r="M430" s="423" t="s">
        <v>699</v>
      </c>
      <c r="N430" s="206">
        <v>437.71100000000001</v>
      </c>
      <c r="O430" s="546"/>
      <c r="R430" s="206"/>
    </row>
    <row r="431" spans="1:18" ht="15">
      <c r="A431" s="424">
        <v>121028</v>
      </c>
      <c r="B431" t="str">
        <f t="shared" si="15"/>
        <v>SEVROLL-SPOJ.LIŠTA "H 10" 3M OLIVA kartáčovaná</v>
      </c>
      <c r="C431" s="209">
        <f t="shared" si="14"/>
        <v>21.452559999999998</v>
      </c>
      <c r="D431" s="542" t="s">
        <v>4208</v>
      </c>
      <c r="E431" s="542" t="s">
        <v>2505</v>
      </c>
      <c r="F431" s="542" t="s">
        <v>4209</v>
      </c>
      <c r="G431" s="542" t="s">
        <v>2506</v>
      </c>
      <c r="H431" s="426">
        <v>605.63968</v>
      </c>
      <c r="I431" s="425">
        <v>21.452559999999998</v>
      </c>
      <c r="J431" s="425">
        <v>73.459999999999994</v>
      </c>
      <c r="K431" s="425">
        <v>6862.0690500000001</v>
      </c>
      <c r="L431" s="542" t="s">
        <v>621</v>
      </c>
      <c r="M431" s="423" t="s">
        <v>699</v>
      </c>
      <c r="N431" s="206">
        <v>437.71100000000001</v>
      </c>
      <c r="O431" s="546"/>
      <c r="R431" s="206"/>
    </row>
    <row r="432" spans="1:18" ht="15">
      <c r="A432" s="424">
        <v>102835</v>
      </c>
      <c r="B432" t="str">
        <f t="shared" si="15"/>
        <v>SEVROLL-HORNÉ VEDEN. MAXIM 1,8M STR.</v>
      </c>
      <c r="C432" s="209">
        <f t="shared" si="14"/>
        <v>22.223890000000001</v>
      </c>
      <c r="D432" s="542" t="s">
        <v>3500</v>
      </c>
      <c r="E432" s="542" t="s">
        <v>2156</v>
      </c>
      <c r="F432" s="542" t="s">
        <v>668</v>
      </c>
      <c r="G432" s="542" t="s">
        <v>2157</v>
      </c>
      <c r="H432" s="426">
        <v>639.80032000000006</v>
      </c>
      <c r="I432" s="425">
        <v>22.223890000000001</v>
      </c>
      <c r="J432" s="425">
        <v>75.61</v>
      </c>
      <c r="K432" s="425">
        <v>7249.1187900000004</v>
      </c>
      <c r="L432" s="542" t="s">
        <v>622</v>
      </c>
      <c r="M432" s="423" t="s">
        <v>699</v>
      </c>
      <c r="N432" s="206">
        <v>439.67090000000002</v>
      </c>
      <c r="O432" s="546"/>
      <c r="R432" s="206"/>
    </row>
    <row r="433" spans="1:18" ht="15">
      <c r="A433" s="424">
        <v>299761</v>
      </c>
      <c r="B433" t="str">
        <f t="shared" si="15"/>
        <v>SEVROLL Idea sada kovania pre vnútorné dvere</v>
      </c>
      <c r="C433" s="209">
        <f t="shared" si="14"/>
        <v>21.187419999999999</v>
      </c>
      <c r="D433" s="542" t="s">
        <v>3558</v>
      </c>
      <c r="E433" s="542" t="s">
        <v>2053</v>
      </c>
      <c r="F433" s="542" t="s">
        <v>3559</v>
      </c>
      <c r="G433" s="542" t="s">
        <v>2054</v>
      </c>
      <c r="H433" s="426">
        <v>609.90976000000001</v>
      </c>
      <c r="I433" s="425">
        <v>21.187419999999999</v>
      </c>
      <c r="J433" s="425">
        <v>72.08</v>
      </c>
      <c r="K433" s="425">
        <v>6910.45028</v>
      </c>
      <c r="L433" s="542" t="s">
        <v>622</v>
      </c>
      <c r="M433" s="423" t="s">
        <v>700</v>
      </c>
      <c r="N433" s="206">
        <v>440.32420000000002</v>
      </c>
      <c r="O433" s="546"/>
      <c r="R433" s="206"/>
    </row>
    <row r="434" spans="1:18" ht="15">
      <c r="A434" s="424">
        <v>328825</v>
      </c>
      <c r="B434" t="str">
        <f t="shared" si="15"/>
        <v>SEVROLL spojovacia lišta Simple / Blue H28 3m (18mm) strieborná</v>
      </c>
      <c r="C434" s="209">
        <f t="shared" si="14"/>
        <v>22.997309999999999</v>
      </c>
      <c r="D434" s="542" t="s">
        <v>4001</v>
      </c>
      <c r="E434" s="542" t="s">
        <v>2538</v>
      </c>
      <c r="F434" s="542" t="s">
        <v>4002</v>
      </c>
      <c r="G434" s="542" t="s">
        <v>84</v>
      </c>
      <c r="H434" s="426">
        <v>572.70780000000002</v>
      </c>
      <c r="I434" s="425">
        <v>22.997309999999999</v>
      </c>
      <c r="J434" s="425">
        <v>66.59</v>
      </c>
      <c r="K434" s="425">
        <v>6152.4778999999999</v>
      </c>
      <c r="L434" s="542" t="s">
        <v>1025</v>
      </c>
      <c r="M434" s="423" t="s">
        <v>699</v>
      </c>
      <c r="N434" s="206">
        <v>442.85399999999998</v>
      </c>
      <c r="O434" s="546"/>
      <c r="R434" s="206"/>
    </row>
    <row r="435" spans="1:18" ht="15">
      <c r="A435" s="424">
        <v>163112</v>
      </c>
      <c r="B435" t="str">
        <f t="shared" si="15"/>
        <v>SEVROLL-SPOD.VED. DOUBLER II 2,35M OLIVA</v>
      </c>
      <c r="C435" s="209">
        <f t="shared" si="14"/>
        <v>24.1281</v>
      </c>
      <c r="D435" s="542" t="s">
        <v>3847</v>
      </c>
      <c r="E435" s="542" t="s">
        <v>1696</v>
      </c>
      <c r="F435" s="542" t="s">
        <v>675</v>
      </c>
      <c r="G435" s="542" t="s">
        <v>1697</v>
      </c>
      <c r="H435" s="426">
        <v>647.62879999999996</v>
      </c>
      <c r="I435" s="425">
        <v>24.1281</v>
      </c>
      <c r="J435" s="425">
        <v>83.12</v>
      </c>
      <c r="K435" s="425">
        <v>7337.8176899999999</v>
      </c>
      <c r="L435" s="542" t="s">
        <v>622</v>
      </c>
      <c r="M435" s="423" t="s">
        <v>699</v>
      </c>
      <c r="N435" s="206">
        <v>445.55059999999997</v>
      </c>
      <c r="O435" s="546"/>
      <c r="R435" s="206"/>
    </row>
    <row r="436" spans="1:18" ht="15">
      <c r="A436" s="424">
        <v>216341</v>
      </c>
      <c r="B436" t="str">
        <f t="shared" si="15"/>
        <v>SEVROLL Simple spodné vedenie 6m strieborná</v>
      </c>
      <c r="C436" s="209">
        <f t="shared" si="14"/>
        <v>27.602219999999999</v>
      </c>
      <c r="D436" s="542" t="s">
        <v>3043</v>
      </c>
      <c r="E436" s="542" t="s">
        <v>938</v>
      </c>
      <c r="F436" s="542" t="s">
        <v>3044</v>
      </c>
      <c r="G436" s="542" t="s">
        <v>2394</v>
      </c>
      <c r="H436" s="426">
        <v>612.4896</v>
      </c>
      <c r="I436" s="425">
        <v>27.602219999999999</v>
      </c>
      <c r="J436" s="425">
        <v>74.86</v>
      </c>
      <c r="K436" s="425">
        <v>6579.8453099999997</v>
      </c>
      <c r="L436" s="542" t="s">
        <v>623</v>
      </c>
      <c r="M436" s="423" t="s">
        <v>699</v>
      </c>
      <c r="N436" s="206">
        <v>451.11059999999998</v>
      </c>
      <c r="O436" s="546"/>
      <c r="R436" s="206"/>
    </row>
    <row r="437" spans="1:18" ht="15">
      <c r="A437" s="427">
        <v>195450</v>
      </c>
      <c r="B437" t="str">
        <f t="shared" si="15"/>
        <v>ASTIN zásuvná lišta 5,4m oliva lak.</v>
      </c>
      <c r="C437" s="209" t="e">
        <f t="shared" si="14"/>
        <v>#N/A</v>
      </c>
      <c r="D437" s="542" t="s">
        <v>3938</v>
      </c>
      <c r="E437" s="542" t="s">
        <v>800</v>
      </c>
      <c r="F437" s="542" t="s">
        <v>3939</v>
      </c>
      <c r="G437" s="542" t="s">
        <v>801</v>
      </c>
      <c r="H437" s="426">
        <v>499.149</v>
      </c>
      <c r="I437" s="425" t="e">
        <v>#N/A</v>
      </c>
      <c r="J437" s="425">
        <v>74.810429999999997</v>
      </c>
      <c r="K437" s="425">
        <v>6007.6392800000003</v>
      </c>
      <c r="L437" s="542" t="s">
        <v>622</v>
      </c>
      <c r="M437" s="428" t="s">
        <v>699</v>
      </c>
      <c r="N437" s="206">
        <v>455.57249999999999</v>
      </c>
      <c r="O437" s="546"/>
      <c r="R437" s="206"/>
    </row>
    <row r="438" spans="1:18" ht="15">
      <c r="A438" s="424">
        <v>89108</v>
      </c>
      <c r="B438" t="str">
        <f t="shared" si="15"/>
        <v>SEVROLL Gemini horné vedenie 2,35m oliva</v>
      </c>
      <c r="C438" s="209">
        <f t="shared" si="14"/>
        <v>25.863589999999999</v>
      </c>
      <c r="D438" s="542" t="s">
        <v>4560</v>
      </c>
      <c r="E438" s="542" t="s">
        <v>1906</v>
      </c>
      <c r="F438" s="542" t="s">
        <v>4561</v>
      </c>
      <c r="G438" s="542" t="s">
        <v>1907</v>
      </c>
      <c r="H438" s="426">
        <v>663.99743999999998</v>
      </c>
      <c r="I438" s="425">
        <v>25.863589999999999</v>
      </c>
      <c r="J438" s="425">
        <v>85.77</v>
      </c>
      <c r="K438" s="425">
        <v>7523.2790000000005</v>
      </c>
      <c r="L438" s="542" t="s">
        <v>621</v>
      </c>
      <c r="M438" s="423" t="s">
        <v>699</v>
      </c>
      <c r="N438" s="206">
        <v>458.61660000000001</v>
      </c>
      <c r="O438" s="546"/>
      <c r="R438" s="206"/>
    </row>
    <row r="439" spans="1:18" ht="15">
      <c r="A439" s="424">
        <v>89107</v>
      </c>
      <c r="B439" t="str">
        <f t="shared" si="15"/>
        <v>SEVROLL horné vedenie 2,35m zlatá</v>
      </c>
      <c r="C439" s="209">
        <f t="shared" si="14"/>
        <v>25.863589999999999</v>
      </c>
      <c r="D439" s="542" t="s">
        <v>3702</v>
      </c>
      <c r="E439" s="542" t="s">
        <v>1915</v>
      </c>
      <c r="F439" s="542" t="s">
        <v>3703</v>
      </c>
      <c r="G439" s="542" t="s">
        <v>1916</v>
      </c>
      <c r="H439" s="426">
        <v>663.99743999999998</v>
      </c>
      <c r="I439" s="425">
        <v>25.863589999999999</v>
      </c>
      <c r="J439" s="425">
        <v>85.77</v>
      </c>
      <c r="K439" s="425">
        <v>7523.2790000000005</v>
      </c>
      <c r="L439" s="542" t="s">
        <v>622</v>
      </c>
      <c r="M439" s="423" t="s">
        <v>699</v>
      </c>
      <c r="N439" s="206">
        <v>458.61660000000001</v>
      </c>
      <c r="O439" s="546"/>
      <c r="R439" s="206"/>
    </row>
    <row r="440" spans="1:18" ht="15">
      <c r="A440" s="424">
        <v>216620</v>
      </c>
      <c r="B440" t="str">
        <f t="shared" si="15"/>
        <v>SEVROLL Victoria II 2,7 oliva tmavá kartáč</v>
      </c>
      <c r="C440" s="209">
        <f t="shared" si="14"/>
        <v>24.248619999999999</v>
      </c>
      <c r="D440" s="542" t="s">
        <v>3155</v>
      </c>
      <c r="E440" s="542" t="s">
        <v>2658</v>
      </c>
      <c r="F440" s="542" t="s">
        <v>3156</v>
      </c>
      <c r="G440" s="542" t="s">
        <v>2659</v>
      </c>
      <c r="H440" s="426">
        <v>671.11424</v>
      </c>
      <c r="I440" s="425">
        <v>24.248619999999999</v>
      </c>
      <c r="J440" s="425">
        <v>81.44</v>
      </c>
      <c r="K440" s="425">
        <v>7603.9143599999998</v>
      </c>
      <c r="L440" s="542" t="s">
        <v>622</v>
      </c>
      <c r="M440" s="423" t="s">
        <v>699</v>
      </c>
      <c r="N440" s="206">
        <v>461.88310000000001</v>
      </c>
      <c r="O440" s="546"/>
      <c r="R440" s="206"/>
    </row>
    <row r="441" spans="1:18" ht="15">
      <c r="A441" s="424">
        <v>102827</v>
      </c>
      <c r="B441" t="str">
        <f t="shared" si="15"/>
        <v>SEVROLL Maxim spod.krycia lišta 1,8m strieborná</v>
      </c>
      <c r="C441" s="209">
        <f t="shared" si="14"/>
        <v>23.453189999999999</v>
      </c>
      <c r="D441" s="542" t="s">
        <v>3475</v>
      </c>
      <c r="E441" s="542" t="s">
        <v>1122</v>
      </c>
      <c r="F441" s="542" t="s">
        <v>3476</v>
      </c>
      <c r="G441" s="542" t="s">
        <v>2203</v>
      </c>
      <c r="H441" s="426">
        <v>675.38432</v>
      </c>
      <c r="I441" s="425">
        <v>23.453189999999999</v>
      </c>
      <c r="J441" s="425">
        <v>79.81</v>
      </c>
      <c r="K441" s="425">
        <v>7652.2955899999997</v>
      </c>
      <c r="L441" s="542" t="s">
        <v>622</v>
      </c>
      <c r="M441" s="423" t="s">
        <v>699</v>
      </c>
      <c r="N441" s="206">
        <v>464.49630000000002</v>
      </c>
      <c r="O441" s="546"/>
      <c r="R441" s="206"/>
    </row>
    <row r="442" spans="1:18" ht="15">
      <c r="A442" s="424">
        <v>299758</v>
      </c>
      <c r="B442" t="str">
        <f t="shared" si="15"/>
        <v>SEVROLL Idea horné/spodné vedenie 3m str.</v>
      </c>
      <c r="C442" s="209">
        <f t="shared" si="14"/>
        <v>23.4773</v>
      </c>
      <c r="D442" s="542" t="s">
        <v>3565</v>
      </c>
      <c r="E442" s="542" t="s">
        <v>2048</v>
      </c>
      <c r="F442" s="542" t="s">
        <v>3566</v>
      </c>
      <c r="G442" s="542" t="s">
        <v>2049</v>
      </c>
      <c r="H442" s="426">
        <v>676.096</v>
      </c>
      <c r="I442" s="425">
        <v>23.4773</v>
      </c>
      <c r="J442" s="425">
        <v>80.180000000000007</v>
      </c>
      <c r="K442" s="425">
        <v>7660.3591299999998</v>
      </c>
      <c r="L442" s="542" t="s">
        <v>622</v>
      </c>
      <c r="M442" s="423" t="s">
        <v>699</v>
      </c>
      <c r="N442" s="206">
        <v>465.14960000000002</v>
      </c>
      <c r="O442" s="546"/>
      <c r="R442" s="206"/>
    </row>
    <row r="443" spans="1:18" ht="15">
      <c r="A443" s="424">
        <v>238038</v>
      </c>
      <c r="B443" t="str">
        <f t="shared" si="15"/>
        <v>SEVROLL Maxim spojovacia lišta H25 2,5m oliv</v>
      </c>
      <c r="C443" s="209">
        <f t="shared" si="14"/>
        <v>23.549610000000001</v>
      </c>
      <c r="D443" s="542" t="s">
        <v>3456</v>
      </c>
      <c r="E443" s="542" t="s">
        <v>1417</v>
      </c>
      <c r="F443" s="542" t="s">
        <v>3457</v>
      </c>
      <c r="G443" s="542" t="s">
        <v>2222</v>
      </c>
      <c r="H443" s="426">
        <v>678.23104000000001</v>
      </c>
      <c r="I443" s="425">
        <v>23.549610000000001</v>
      </c>
      <c r="J443" s="425">
        <v>80.150000000000006</v>
      </c>
      <c r="K443" s="425">
        <v>7684.54972</v>
      </c>
      <c r="L443" s="542" t="s">
        <v>622</v>
      </c>
      <c r="M443" s="423" t="s">
        <v>699</v>
      </c>
      <c r="N443" s="206">
        <v>466.45620000000002</v>
      </c>
      <c r="O443" s="546"/>
      <c r="R443" s="206"/>
    </row>
    <row r="444" spans="1:18" ht="15">
      <c r="A444" s="424">
        <v>102822</v>
      </c>
      <c r="B444" t="str">
        <f t="shared" si="15"/>
        <v>SEVROLL Maxim vod. Lišta 2,5m strieborná</v>
      </c>
      <c r="C444" s="209">
        <f t="shared" si="14"/>
        <v>22.464929999999999</v>
      </c>
      <c r="D444" s="542" t="s">
        <v>4360</v>
      </c>
      <c r="E444" s="542" t="s">
        <v>2229</v>
      </c>
      <c r="F444" s="542" t="s">
        <v>4361</v>
      </c>
      <c r="G444" s="542" t="s">
        <v>2230</v>
      </c>
      <c r="H444" s="426">
        <v>646.91711999999995</v>
      </c>
      <c r="I444" s="425">
        <v>22.464929999999999</v>
      </c>
      <c r="J444" s="425">
        <v>76.45</v>
      </c>
      <c r="K444" s="425">
        <v>7329.7541499999998</v>
      </c>
      <c r="L444" s="542" t="s">
        <v>621</v>
      </c>
      <c r="M444" s="423" t="s">
        <v>699</v>
      </c>
      <c r="N444" s="206">
        <v>467.10950000000003</v>
      </c>
      <c r="O444" s="546"/>
      <c r="R444" s="206"/>
    </row>
    <row r="445" spans="1:18" ht="15">
      <c r="A445" s="424">
        <v>224121</v>
      </c>
      <c r="B445" t="str">
        <f t="shared" si="15"/>
        <v>SEVROLL horné vedenie Simple 3m oliva</v>
      </c>
      <c r="C445" s="209">
        <f t="shared" si="14"/>
        <v>30.27253</v>
      </c>
      <c r="D445" s="542" t="s">
        <v>3344</v>
      </c>
      <c r="E445" s="542" t="s">
        <v>2380</v>
      </c>
      <c r="F445" s="542" t="s">
        <v>3345</v>
      </c>
      <c r="G445" s="542" t="s">
        <v>2381</v>
      </c>
      <c r="H445" s="426">
        <v>654.52319999999997</v>
      </c>
      <c r="I445" s="425">
        <v>30.27253</v>
      </c>
      <c r="J445" s="425">
        <v>80.02</v>
      </c>
      <c r="K445" s="425">
        <v>7031.4033099999997</v>
      </c>
      <c r="L445" s="542" t="s">
        <v>622</v>
      </c>
      <c r="M445" s="423" t="s">
        <v>699</v>
      </c>
      <c r="N445" s="206">
        <v>469.125</v>
      </c>
      <c r="O445" s="546"/>
      <c r="R445" s="206"/>
    </row>
    <row r="446" spans="1:18" ht="15">
      <c r="A446" s="427">
        <v>340614</v>
      </c>
      <c r="B446" t="str">
        <f t="shared" si="15"/>
        <v/>
      </c>
      <c r="C446" s="209" t="e">
        <f t="shared" si="14"/>
        <v>#N/A</v>
      </c>
      <c r="D446" s="542" t="s">
        <v>2711</v>
      </c>
      <c r="E446" s="542" t="s">
        <v>2711</v>
      </c>
      <c r="F446" s="542" t="s">
        <v>84</v>
      </c>
      <c r="G446" s="542" t="s">
        <v>2711</v>
      </c>
      <c r="H446" s="426">
        <v>517.01328000000001</v>
      </c>
      <c r="I446" s="425" t="e">
        <v>#N/A</v>
      </c>
      <c r="J446" s="425">
        <v>77.487859999999998</v>
      </c>
      <c r="K446" s="425">
        <v>6222.6495199999999</v>
      </c>
      <c r="L446" s="542" t="s">
        <v>622</v>
      </c>
      <c r="M446" s="428" t="s">
        <v>699</v>
      </c>
      <c r="N446" s="206">
        <v>471.87720000000002</v>
      </c>
      <c r="O446" s="546"/>
      <c r="R446" s="206"/>
    </row>
    <row r="447" spans="1:18" ht="15">
      <c r="A447" s="424">
        <v>135709</v>
      </c>
      <c r="B447" t="str">
        <f t="shared" si="15"/>
        <v>SEVROLL Comfor 16 II úch.lišta 2,7m strieborná</v>
      </c>
      <c r="C447" s="209">
        <f t="shared" si="14"/>
        <v>25.646660000000001</v>
      </c>
      <c r="D447" s="542" t="s">
        <v>3889</v>
      </c>
      <c r="E447" s="542" t="s">
        <v>1378</v>
      </c>
      <c r="F447" s="542" t="s">
        <v>3890</v>
      </c>
      <c r="G447" s="542" t="s">
        <v>1645</v>
      </c>
      <c r="H447" s="426">
        <v>688.19456000000002</v>
      </c>
      <c r="I447" s="425">
        <v>25.646660000000001</v>
      </c>
      <c r="J447" s="425">
        <v>95.1</v>
      </c>
      <c r="K447" s="425">
        <v>7797.43923</v>
      </c>
      <c r="L447" s="542" t="s">
        <v>622</v>
      </c>
      <c r="M447" s="423" t="s">
        <v>699</v>
      </c>
      <c r="N447" s="206">
        <v>473.64249999999998</v>
      </c>
      <c r="O447" s="546"/>
      <c r="R447" s="206"/>
    </row>
    <row r="448" spans="1:18" ht="15">
      <c r="A448" s="424">
        <v>84392</v>
      </c>
      <c r="B448" t="str">
        <f t="shared" si="15"/>
        <v>SEVROLL Elegant spodné vedenie 4,05m zlatá</v>
      </c>
      <c r="C448" s="209">
        <f t="shared" si="14"/>
        <v>26.032319999999999</v>
      </c>
      <c r="D448" s="542" t="s">
        <v>3817</v>
      </c>
      <c r="E448" s="542" t="s">
        <v>1767</v>
      </c>
      <c r="F448" s="542" t="s">
        <v>3818</v>
      </c>
      <c r="G448" s="542" t="s">
        <v>1768</v>
      </c>
      <c r="H448" s="426">
        <v>698.86976000000004</v>
      </c>
      <c r="I448" s="425">
        <v>26.032319999999999</v>
      </c>
      <c r="J448" s="425">
        <v>95.4</v>
      </c>
      <c r="K448" s="425">
        <v>7918.3922599999996</v>
      </c>
      <c r="L448" s="542" t="s">
        <v>622</v>
      </c>
      <c r="M448" s="423" t="s">
        <v>699</v>
      </c>
      <c r="N448" s="206">
        <v>473.64249999999998</v>
      </c>
      <c r="O448" s="546"/>
      <c r="R448" s="206"/>
    </row>
    <row r="449" spans="1:18" ht="15">
      <c r="A449" s="427">
        <v>157353</v>
      </c>
      <c r="B449" t="str">
        <f t="shared" si="15"/>
        <v>ASTIN LUNA úch.lišta 2,7m strieborná</v>
      </c>
      <c r="C449" s="209" t="e">
        <f t="shared" si="14"/>
        <v>#N/A</v>
      </c>
      <c r="D449" s="542" t="s">
        <v>3961</v>
      </c>
      <c r="E449" s="542" t="s">
        <v>643</v>
      </c>
      <c r="F449" s="542" t="s">
        <v>3962</v>
      </c>
      <c r="G449" s="542" t="s">
        <v>970</v>
      </c>
      <c r="H449" s="426">
        <v>519.11496</v>
      </c>
      <c r="I449" s="425" t="e">
        <v>#N/A</v>
      </c>
      <c r="J449" s="425">
        <v>77.802859999999995</v>
      </c>
      <c r="K449" s="425">
        <v>6247.9448400000001</v>
      </c>
      <c r="L449" s="542" t="s">
        <v>622</v>
      </c>
      <c r="M449" s="428" t="s">
        <v>699</v>
      </c>
      <c r="N449" s="206">
        <v>473.79539999999997</v>
      </c>
      <c r="O449" s="546"/>
      <c r="R449" s="206"/>
    </row>
    <row r="450" spans="1:18" ht="15">
      <c r="A450" s="424">
        <v>89032</v>
      </c>
      <c r="B450" t="str">
        <f t="shared" si="15"/>
        <v>SEVROLL Single horné vedenie 2,35m strieborn</v>
      </c>
      <c r="C450" s="209">
        <f t="shared" si="14"/>
        <v>22.802379999999999</v>
      </c>
      <c r="D450" s="542" t="s">
        <v>4284</v>
      </c>
      <c r="E450" s="542" t="s">
        <v>886</v>
      </c>
      <c r="F450" s="542" t="s">
        <v>4285</v>
      </c>
      <c r="G450" s="542" t="s">
        <v>2418</v>
      </c>
      <c r="H450" s="426">
        <v>656.88063999999997</v>
      </c>
      <c r="I450" s="425">
        <v>22.802379999999999</v>
      </c>
      <c r="J450" s="425">
        <v>77.63</v>
      </c>
      <c r="K450" s="425">
        <v>7442.6436400000002</v>
      </c>
      <c r="L450" s="542" t="s">
        <v>621</v>
      </c>
      <c r="M450" s="423" t="s">
        <v>699</v>
      </c>
      <c r="N450" s="206">
        <v>474.29579999999999</v>
      </c>
      <c r="O450" s="546"/>
      <c r="R450" s="206"/>
    </row>
    <row r="451" spans="1:18" ht="15">
      <c r="A451" s="427">
        <v>195453</v>
      </c>
      <c r="B451" t="str">
        <f t="shared" si="15"/>
        <v>ASTIN maska 5,4m oliva lak.</v>
      </c>
      <c r="C451" s="209" t="e">
        <f t="shared" ref="C451:C505" si="16">IF($A$2=1,H451,IF($A$2=2,I451,IF($A$2=3,J451,IF($A$2=4,K451,"zadat jazyk"))))</f>
        <v>#N/A</v>
      </c>
      <c r="D451" s="542" t="s">
        <v>3957</v>
      </c>
      <c r="E451" s="542" t="s">
        <v>806</v>
      </c>
      <c r="F451" s="542" t="s">
        <v>3958</v>
      </c>
      <c r="G451" s="542" t="s">
        <v>2728</v>
      </c>
      <c r="H451" s="426">
        <v>520.16579999999999</v>
      </c>
      <c r="I451" s="425" t="e">
        <v>#N/A</v>
      </c>
      <c r="J451" s="425">
        <v>77.960340000000002</v>
      </c>
      <c r="K451" s="425">
        <v>6260.5925100000004</v>
      </c>
      <c r="L451" s="542" t="s">
        <v>622</v>
      </c>
      <c r="M451" s="428" t="s">
        <v>699</v>
      </c>
      <c r="N451" s="206">
        <v>474.75450000000001</v>
      </c>
      <c r="O451" s="546"/>
      <c r="R451" s="206"/>
    </row>
    <row r="452" spans="1:18" ht="15">
      <c r="A452" s="424">
        <v>318662</v>
      </c>
      <c r="B452" t="str">
        <f t="shared" si="15"/>
        <v>SEVROLL tlmič dorazu Mini SV25 - 2ks</v>
      </c>
      <c r="C452" s="209">
        <f t="shared" si="16"/>
        <v>22.368510000000001</v>
      </c>
      <c r="D452" s="542" t="s">
        <v>4163</v>
      </c>
      <c r="E452" s="542" t="s">
        <v>4164</v>
      </c>
      <c r="F452" s="542" t="s">
        <v>4165</v>
      </c>
      <c r="G452" s="542" t="s">
        <v>1530</v>
      </c>
      <c r="H452" s="426">
        <v>600.65791999999999</v>
      </c>
      <c r="I452" s="425">
        <v>22.368510000000001</v>
      </c>
      <c r="J452" s="425">
        <v>99.31</v>
      </c>
      <c r="K452" s="425">
        <v>6805.6243100000002</v>
      </c>
      <c r="L452" s="542" t="s">
        <v>621</v>
      </c>
      <c r="M452" s="423" t="s">
        <v>703</v>
      </c>
      <c r="N452" s="206">
        <v>476.90899999999999</v>
      </c>
      <c r="O452" s="546"/>
      <c r="R452" s="206"/>
    </row>
    <row r="453" spans="1:18" ht="15">
      <c r="A453" s="424">
        <v>283956</v>
      </c>
      <c r="B453" t="str">
        <f t="shared" si="15"/>
        <v>SEVROLL tlmič dorazu Mini SV40 - 2ks</v>
      </c>
      <c r="C453" s="209">
        <f t="shared" si="16"/>
        <v>22.368510000000001</v>
      </c>
      <c r="D453" s="542" t="s">
        <v>4160</v>
      </c>
      <c r="E453" s="542" t="s">
        <v>4161</v>
      </c>
      <c r="F453" s="542" t="s">
        <v>4162</v>
      </c>
      <c r="G453" s="542" t="s">
        <v>2567</v>
      </c>
      <c r="H453" s="426">
        <v>600.65791999999999</v>
      </c>
      <c r="I453" s="425">
        <v>22.368510000000001</v>
      </c>
      <c r="J453" s="425">
        <v>99.31</v>
      </c>
      <c r="K453" s="425">
        <v>6805.6243100000002</v>
      </c>
      <c r="L453" s="542" t="s">
        <v>621</v>
      </c>
      <c r="M453" s="423" t="s">
        <v>703</v>
      </c>
      <c r="N453" s="206">
        <v>476.90899999999999</v>
      </c>
      <c r="O453" s="546"/>
      <c r="R453" s="206"/>
    </row>
    <row r="454" spans="1:18" ht="15">
      <c r="A454" s="424">
        <v>351743</v>
      </c>
      <c r="B454" t="str">
        <f t="shared" si="15"/>
        <v/>
      </c>
      <c r="C454" s="209">
        <f t="shared" si="16"/>
        <v>22.368510000000001</v>
      </c>
      <c r="D454" s="542" t="s">
        <v>3231</v>
      </c>
      <c r="E454" s="542" t="s">
        <v>3232</v>
      </c>
      <c r="F454" s="542" t="s">
        <v>84</v>
      </c>
      <c r="G454" s="542" t="s">
        <v>84</v>
      </c>
      <c r="H454" s="426">
        <v>600.65791999999999</v>
      </c>
      <c r="I454" s="425">
        <v>22.368510000000001</v>
      </c>
      <c r="J454" s="425">
        <v>99.31</v>
      </c>
      <c r="K454" s="425">
        <v>6805.6243100000002</v>
      </c>
      <c r="L454" s="542" t="s">
        <v>621</v>
      </c>
      <c r="M454" s="423" t="s">
        <v>703</v>
      </c>
      <c r="N454" s="206">
        <v>476.90899999999999</v>
      </c>
      <c r="O454" s="546"/>
      <c r="R454" s="206"/>
    </row>
    <row r="455" spans="1:18" ht="15">
      <c r="A455" s="424">
        <v>89112</v>
      </c>
      <c r="B455" t="str">
        <f t="shared" si="15"/>
        <v>SEVROLL Gemini horné vedenie 3m strieborná</v>
      </c>
      <c r="C455" s="209">
        <f t="shared" si="16"/>
        <v>28.298100000000002</v>
      </c>
      <c r="D455" s="542" t="s">
        <v>4043</v>
      </c>
      <c r="E455" s="542" t="s">
        <v>1928</v>
      </c>
      <c r="F455" s="542" t="s">
        <v>4044</v>
      </c>
      <c r="G455" s="542" t="s">
        <v>1929</v>
      </c>
      <c r="H455" s="426">
        <v>726.62527999999998</v>
      </c>
      <c r="I455" s="425">
        <v>28.298100000000002</v>
      </c>
      <c r="J455" s="425">
        <v>94.14</v>
      </c>
      <c r="K455" s="425">
        <v>8232.8701799999999</v>
      </c>
      <c r="L455" s="542" t="s">
        <v>1025</v>
      </c>
      <c r="M455" s="423" t="s">
        <v>699</v>
      </c>
      <c r="N455" s="206">
        <v>480.8288</v>
      </c>
      <c r="O455" s="546"/>
      <c r="R455" s="206"/>
    </row>
    <row r="456" spans="1:18" ht="15">
      <c r="A456" s="429">
        <v>223508</v>
      </c>
      <c r="B456" t="str">
        <f t="shared" si="15"/>
        <v>SEVROLL horné vedenie Herkules 2 1,8m alu</v>
      </c>
      <c r="C456" s="209">
        <f t="shared" si="16"/>
        <v>31.407509999999998</v>
      </c>
      <c r="D456" s="542" t="s">
        <v>3661</v>
      </c>
      <c r="E456" s="542" t="s">
        <v>2762</v>
      </c>
      <c r="F456" s="542" t="s">
        <v>3662</v>
      </c>
      <c r="G456" s="542" t="s">
        <v>2837</v>
      </c>
      <c r="H456" s="426">
        <v>766.01232000000005</v>
      </c>
      <c r="I456" s="425">
        <v>31.407509999999998</v>
      </c>
      <c r="J456" s="425">
        <v>89.89</v>
      </c>
      <c r="K456" s="425">
        <v>8611.8563599999998</v>
      </c>
      <c r="L456" s="542" t="s">
        <v>622</v>
      </c>
      <c r="M456" s="430" t="s">
        <v>699</v>
      </c>
      <c r="N456" s="206">
        <v>482.12984</v>
      </c>
      <c r="O456" s="546"/>
      <c r="R456" s="206"/>
    </row>
    <row r="457" spans="1:18" ht="15">
      <c r="A457" s="424">
        <v>84393</v>
      </c>
      <c r="B457" t="str">
        <f t="shared" si="15"/>
        <v>SEVROLL Elegant spodné vedenie 4,05m oliva</v>
      </c>
      <c r="C457" s="209">
        <f t="shared" si="16"/>
        <v>26.032319999999999</v>
      </c>
      <c r="D457" s="542" t="s">
        <v>4615</v>
      </c>
      <c r="E457" s="542" t="s">
        <v>1760</v>
      </c>
      <c r="F457" s="542" t="s">
        <v>4616</v>
      </c>
      <c r="G457" s="542" t="s">
        <v>895</v>
      </c>
      <c r="H457" s="426">
        <v>698.86976000000004</v>
      </c>
      <c r="I457" s="425">
        <v>26.032319999999999</v>
      </c>
      <c r="J457" s="425">
        <v>95.4</v>
      </c>
      <c r="K457" s="425">
        <v>7918.3922599999996</v>
      </c>
      <c r="L457" s="542" t="s">
        <v>621</v>
      </c>
      <c r="M457" s="423" t="s">
        <v>699</v>
      </c>
      <c r="N457" s="206">
        <v>482.78870000000001</v>
      </c>
      <c r="O457" s="546"/>
      <c r="R457" s="206"/>
    </row>
    <row r="458" spans="1:18" ht="15">
      <c r="A458" s="424">
        <v>349802</v>
      </c>
      <c r="B458" t="str">
        <f t="shared" si="15"/>
        <v>SEVROLL Blue horné vedenie 3m strieborná</v>
      </c>
      <c r="C458" s="209">
        <f t="shared" si="16"/>
        <v>28.773890000000002</v>
      </c>
      <c r="D458" s="542" t="s">
        <v>4074</v>
      </c>
      <c r="E458" s="542" t="s">
        <v>1592</v>
      </c>
      <c r="F458" s="542" t="s">
        <v>4075</v>
      </c>
      <c r="G458" s="542" t="s">
        <v>84</v>
      </c>
      <c r="H458" s="426">
        <v>641.01239999999996</v>
      </c>
      <c r="I458" s="425">
        <v>28.773890000000002</v>
      </c>
      <c r="J458" s="425">
        <v>71.819999999999993</v>
      </c>
      <c r="K458" s="425">
        <v>6886.2596700000004</v>
      </c>
      <c r="L458" s="542" t="s">
        <v>1025</v>
      </c>
      <c r="M458" s="423" t="s">
        <v>699</v>
      </c>
      <c r="N458" s="206">
        <v>483.38639999999998</v>
      </c>
      <c r="O458" s="546"/>
      <c r="R458" s="206"/>
    </row>
    <row r="459" spans="1:18" ht="15">
      <c r="A459" s="424">
        <v>216621</v>
      </c>
      <c r="B459" t="str">
        <f t="shared" si="15"/>
        <v>SEVROLL victoria II 2,7m čierna kartáč</v>
      </c>
      <c r="C459" s="209">
        <f t="shared" si="16"/>
        <v>24.248619999999999</v>
      </c>
      <c r="D459" s="542" t="s">
        <v>4095</v>
      </c>
      <c r="E459" s="542" t="s">
        <v>2656</v>
      </c>
      <c r="F459" s="542" t="s">
        <v>4096</v>
      </c>
      <c r="G459" s="542" t="s">
        <v>2657</v>
      </c>
      <c r="H459" s="426">
        <v>671.11424</v>
      </c>
      <c r="I459" s="425">
        <v>24.248619999999999</v>
      </c>
      <c r="J459" s="425">
        <v>81.44</v>
      </c>
      <c r="K459" s="425">
        <v>7603.9143599999998</v>
      </c>
      <c r="L459" s="542" t="s">
        <v>621</v>
      </c>
      <c r="M459" s="423" t="s">
        <v>699</v>
      </c>
      <c r="N459" s="206">
        <v>484.74860000000001</v>
      </c>
      <c r="O459" s="546"/>
      <c r="R459" s="206"/>
    </row>
    <row r="460" spans="1:18" ht="15">
      <c r="A460" s="424">
        <v>191699</v>
      </c>
      <c r="B460" t="str">
        <f t="shared" si="15"/>
        <v>SEVROLL Victoria II úch.lišta 2,7m oliv.kart</v>
      </c>
      <c r="C460" s="209">
        <f t="shared" si="16"/>
        <v>24.248619999999999</v>
      </c>
      <c r="D460" s="542" t="s">
        <v>4089</v>
      </c>
      <c r="E460" s="542" t="s">
        <v>2664</v>
      </c>
      <c r="F460" s="542" t="s">
        <v>4090</v>
      </c>
      <c r="G460" s="542" t="s">
        <v>2665</v>
      </c>
      <c r="H460" s="426">
        <v>671.11424</v>
      </c>
      <c r="I460" s="425">
        <v>24.248619999999999</v>
      </c>
      <c r="J460" s="425">
        <v>81.44</v>
      </c>
      <c r="K460" s="425">
        <v>7603.9143599999998</v>
      </c>
      <c r="L460" s="542" t="s">
        <v>621</v>
      </c>
      <c r="M460" s="423" t="s">
        <v>699</v>
      </c>
      <c r="N460" s="206">
        <v>484.74860000000001</v>
      </c>
      <c r="O460" s="546"/>
      <c r="R460" s="206"/>
    </row>
    <row r="461" spans="1:18" ht="15">
      <c r="A461" s="427">
        <v>348023</v>
      </c>
      <c r="B461" t="str">
        <f t="shared" si="15"/>
        <v/>
      </c>
      <c r="C461" s="209" t="e">
        <f t="shared" si="16"/>
        <v>#N/A</v>
      </c>
      <c r="D461" s="542" t="s">
        <v>2707</v>
      </c>
      <c r="E461" s="542" t="s">
        <v>2717</v>
      </c>
      <c r="F461" s="542" t="s">
        <v>84</v>
      </c>
      <c r="G461" s="542" t="s">
        <v>84</v>
      </c>
      <c r="H461" s="426">
        <v>514.79999999999995</v>
      </c>
      <c r="I461" s="425" t="e">
        <v>#N/A</v>
      </c>
      <c r="J461" s="425">
        <v>77.156130000000005</v>
      </c>
      <c r="K461" s="425">
        <v>6196.0110000000004</v>
      </c>
      <c r="L461" s="542" t="s">
        <v>622</v>
      </c>
      <c r="M461" s="428" t="s">
        <v>699</v>
      </c>
      <c r="N461" s="206">
        <v>493.35</v>
      </c>
      <c r="O461" s="546"/>
      <c r="R461" s="206"/>
    </row>
    <row r="462" spans="1:18" ht="15">
      <c r="A462" s="424">
        <v>289095</v>
      </c>
      <c r="B462" t="str">
        <f t="shared" si="15"/>
        <v>SEVROLL Porto úchytová lišta 2,7m strieborn</v>
      </c>
      <c r="C462" s="209">
        <f t="shared" si="16"/>
        <v>24.97174</v>
      </c>
      <c r="D462" s="542" t="s">
        <v>3391</v>
      </c>
      <c r="E462" s="542" t="s">
        <v>2315</v>
      </c>
      <c r="F462" s="542" t="s">
        <v>3392</v>
      </c>
      <c r="G462" s="542" t="s">
        <v>2316</v>
      </c>
      <c r="H462" s="426">
        <v>719.50847999999996</v>
      </c>
      <c r="I462" s="425">
        <v>24.97174</v>
      </c>
      <c r="J462" s="425">
        <v>85.03</v>
      </c>
      <c r="K462" s="425">
        <v>8152.2348199999997</v>
      </c>
      <c r="L462" s="542" t="s">
        <v>622</v>
      </c>
      <c r="M462" s="423" t="s">
        <v>699</v>
      </c>
      <c r="N462" s="206">
        <v>494.54809999999998</v>
      </c>
      <c r="O462" s="546"/>
      <c r="R462" s="206"/>
    </row>
    <row r="463" spans="1:18" ht="15">
      <c r="A463" s="424">
        <v>223557</v>
      </c>
      <c r="B463" t="str">
        <f t="shared" si="15"/>
        <v>SEVROLL spodné vedenie Simple 6m oliva</v>
      </c>
      <c r="C463" s="209">
        <f t="shared" si="16"/>
        <v>31.171710000000001</v>
      </c>
      <c r="D463" s="542" t="s">
        <v>3326</v>
      </c>
      <c r="E463" s="542" t="s">
        <v>1161</v>
      </c>
      <c r="F463" s="542" t="s">
        <v>3327</v>
      </c>
      <c r="G463" s="542" t="s">
        <v>2393</v>
      </c>
      <c r="H463" s="426">
        <v>691.30259999999998</v>
      </c>
      <c r="I463" s="425">
        <v>31.171710000000001</v>
      </c>
      <c r="J463" s="425">
        <v>86.13</v>
      </c>
      <c r="K463" s="425">
        <v>7426.5165699999998</v>
      </c>
      <c r="L463" s="542" t="s">
        <v>622</v>
      </c>
      <c r="M463" s="423" t="s">
        <v>699</v>
      </c>
      <c r="N463" s="206">
        <v>496.14659999999998</v>
      </c>
      <c r="O463" s="546"/>
      <c r="R463" s="206"/>
    </row>
    <row r="464" spans="1:18" ht="15">
      <c r="A464" s="424">
        <v>89031</v>
      </c>
      <c r="B464" t="str">
        <f t="shared" si="15"/>
        <v>SEVROLL Single horné vedenie 2,35m oliva</v>
      </c>
      <c r="C464" s="209">
        <f t="shared" si="16"/>
        <v>25.044060000000002</v>
      </c>
      <c r="D464" s="542" t="s">
        <v>3320</v>
      </c>
      <c r="E464" s="542" t="s">
        <v>885</v>
      </c>
      <c r="F464" s="542" t="s">
        <v>3321</v>
      </c>
      <c r="G464" s="542" t="s">
        <v>2417</v>
      </c>
      <c r="H464" s="426">
        <v>721.64351999999997</v>
      </c>
      <c r="I464" s="425">
        <v>25.044060000000002</v>
      </c>
      <c r="J464" s="425">
        <v>85.28</v>
      </c>
      <c r="K464" s="425">
        <v>8176.4254099999998</v>
      </c>
      <c r="L464" s="542" t="s">
        <v>622</v>
      </c>
      <c r="M464" s="423" t="s">
        <v>699</v>
      </c>
      <c r="N464" s="206">
        <v>496.50799999999998</v>
      </c>
      <c r="O464" s="546"/>
      <c r="R464" s="206"/>
    </row>
    <row r="465" spans="1:18" ht="15">
      <c r="A465" s="424">
        <v>135555</v>
      </c>
      <c r="B465" t="str">
        <f t="shared" si="15"/>
        <v>SEVROLL Comfort 18 II úch.lišta 2,7m str,</v>
      </c>
      <c r="C465" s="209">
        <f t="shared" si="16"/>
        <v>25.646660000000001</v>
      </c>
      <c r="D465" s="542" t="s">
        <v>4663</v>
      </c>
      <c r="E465" s="542" t="s">
        <v>1373</v>
      </c>
      <c r="F465" s="542" t="s">
        <v>4664</v>
      </c>
      <c r="G465" s="542" t="s">
        <v>1646</v>
      </c>
      <c r="H465" s="426">
        <v>688.19456000000002</v>
      </c>
      <c r="I465" s="425">
        <v>25.646660000000001</v>
      </c>
      <c r="J465" s="425">
        <v>95.1</v>
      </c>
      <c r="K465" s="425">
        <v>7797.43923</v>
      </c>
      <c r="L465" s="542" t="s">
        <v>621</v>
      </c>
      <c r="M465" s="423" t="s">
        <v>699</v>
      </c>
      <c r="N465" s="206">
        <v>497.16129999999998</v>
      </c>
      <c r="O465" s="546"/>
      <c r="R465" s="206"/>
    </row>
    <row r="466" spans="1:18" ht="15">
      <c r="A466" s="424">
        <v>89069</v>
      </c>
      <c r="B466" t="str">
        <f t="shared" si="15"/>
        <v>SEVROLL-253S-SPOJ.LIŠTA H-30mm STR 3m</v>
      </c>
      <c r="C466" s="209">
        <f t="shared" si="16"/>
        <v>26.594049999999999</v>
      </c>
      <c r="D466" s="542" t="s">
        <v>4193</v>
      </c>
      <c r="E466" s="542" t="s">
        <v>2531</v>
      </c>
      <c r="F466" s="542" t="s">
        <v>4194</v>
      </c>
      <c r="G466" s="542" t="s">
        <v>2532</v>
      </c>
      <c r="H466" s="426">
        <v>688.90624000000003</v>
      </c>
      <c r="I466" s="425">
        <v>26.594049999999999</v>
      </c>
      <c r="J466" s="425">
        <v>81.41</v>
      </c>
      <c r="K466" s="425">
        <v>7805.5027700000001</v>
      </c>
      <c r="L466" s="542" t="s">
        <v>621</v>
      </c>
      <c r="M466" s="423" t="s">
        <v>699</v>
      </c>
      <c r="N466" s="206">
        <v>497.81459999999998</v>
      </c>
      <c r="O466" s="546"/>
      <c r="R466" s="206"/>
    </row>
    <row r="467" spans="1:18" ht="15">
      <c r="A467" s="424">
        <v>98078</v>
      </c>
      <c r="B467" t="str">
        <f t="shared" si="15"/>
        <v>SEVROLL Everest vozík pre šikmé krídlo - 2ks</v>
      </c>
      <c r="C467" s="209">
        <f t="shared" si="16"/>
        <v>21.597180000000002</v>
      </c>
      <c r="D467" s="542" t="s">
        <v>4602</v>
      </c>
      <c r="E467" s="542" t="s">
        <v>1103</v>
      </c>
      <c r="F467" s="542" t="s">
        <v>4603</v>
      </c>
      <c r="G467" s="542" t="s">
        <v>1792</v>
      </c>
      <c r="H467" s="426">
        <v>642.64703999999995</v>
      </c>
      <c r="I467" s="425">
        <v>21.597180000000002</v>
      </c>
      <c r="J467" s="425">
        <v>75.94</v>
      </c>
      <c r="K467" s="425">
        <v>7281.3729199999998</v>
      </c>
      <c r="L467" s="542" t="s">
        <v>621</v>
      </c>
      <c r="M467" s="423" t="s">
        <v>700</v>
      </c>
      <c r="N467" s="206">
        <v>499.12119999999999</v>
      </c>
      <c r="O467" s="546"/>
      <c r="R467" s="206"/>
    </row>
    <row r="468" spans="1:18" ht="15">
      <c r="A468" s="424">
        <v>349818</v>
      </c>
      <c r="B468" t="str">
        <f t="shared" si="15"/>
        <v/>
      </c>
      <c r="C468" s="209">
        <f t="shared" si="16"/>
        <v>29.42784</v>
      </c>
      <c r="D468" s="542" t="s">
        <v>3898</v>
      </c>
      <c r="E468" s="542" t="s">
        <v>1619</v>
      </c>
      <c r="F468" s="542" t="s">
        <v>84</v>
      </c>
      <c r="G468" s="542" t="s">
        <v>84</v>
      </c>
      <c r="H468" s="426">
        <v>646.26660000000004</v>
      </c>
      <c r="I468" s="425">
        <v>29.42784</v>
      </c>
      <c r="J468" s="425">
        <v>101.36</v>
      </c>
      <c r="K468" s="425">
        <v>6942.7044100000003</v>
      </c>
      <c r="L468" s="542" t="s">
        <v>621</v>
      </c>
      <c r="M468" s="423" t="s">
        <v>699</v>
      </c>
      <c r="N468" s="206">
        <v>499.149</v>
      </c>
      <c r="O468" s="546"/>
      <c r="R468" s="206"/>
    </row>
    <row r="469" spans="1:18" ht="15">
      <c r="A469" s="427">
        <v>340578</v>
      </c>
      <c r="B469" t="str">
        <f t="shared" si="15"/>
        <v/>
      </c>
      <c r="C469" s="209" t="e">
        <f t="shared" si="16"/>
        <v>#N/A</v>
      </c>
      <c r="D469" s="542" t="s">
        <v>2708</v>
      </c>
      <c r="E469" s="542" t="s">
        <v>84</v>
      </c>
      <c r="F469" s="542" t="s">
        <v>84</v>
      </c>
      <c r="G469" s="542" t="s">
        <v>84</v>
      </c>
      <c r="H469" s="426">
        <v>549.23904000000005</v>
      </c>
      <c r="I469" s="425" t="e">
        <v>#N/A</v>
      </c>
      <c r="J469" s="425">
        <v>82.317719999999994</v>
      </c>
      <c r="K469" s="425">
        <v>6610.5111500000003</v>
      </c>
      <c r="L469" s="542" t="s">
        <v>622</v>
      </c>
      <c r="M469" s="428" t="s">
        <v>699</v>
      </c>
      <c r="N469" s="206">
        <v>501.28960000000001</v>
      </c>
      <c r="O469" s="546"/>
      <c r="R469" s="206"/>
    </row>
    <row r="470" spans="1:18" ht="15">
      <c r="A470" s="424">
        <v>223572</v>
      </c>
      <c r="B470" t="str">
        <f t="shared" si="15"/>
        <v>SEVROLL Karat úch.lišta 2,7m str</v>
      </c>
      <c r="C470" s="209">
        <f t="shared" si="16"/>
        <v>23.621919999999999</v>
      </c>
      <c r="D470" s="542" t="s">
        <v>4446</v>
      </c>
      <c r="E470" s="542" t="s">
        <v>2061</v>
      </c>
      <c r="F470" s="542" t="s">
        <v>4447</v>
      </c>
      <c r="G470" s="542" t="s">
        <v>2062</v>
      </c>
      <c r="H470" s="426">
        <v>696.73472000000004</v>
      </c>
      <c r="I470" s="425">
        <v>23.621919999999999</v>
      </c>
      <c r="J470" s="425">
        <v>82.34</v>
      </c>
      <c r="K470" s="425">
        <v>7894.2016700000004</v>
      </c>
      <c r="L470" s="542" t="s">
        <v>621</v>
      </c>
      <c r="M470" s="423" t="s">
        <v>699</v>
      </c>
      <c r="N470" s="206">
        <v>503.6943</v>
      </c>
      <c r="O470" s="546"/>
      <c r="R470" s="206"/>
    </row>
    <row r="471" spans="1:18" ht="15">
      <c r="A471" s="424">
        <v>180324</v>
      </c>
      <c r="B471" t="str">
        <f t="shared" si="15"/>
        <v>SEVROLL-SPODNÉ VED. MAXIM II 3,5M STR.</v>
      </c>
      <c r="C471" s="209">
        <f t="shared" si="16"/>
        <v>24.200420000000001</v>
      </c>
      <c r="D471" s="542" t="s">
        <v>4380</v>
      </c>
      <c r="E471" s="542" t="s">
        <v>2188</v>
      </c>
      <c r="F471" s="542" t="s">
        <v>705</v>
      </c>
      <c r="G471" s="542" t="s">
        <v>2189</v>
      </c>
      <c r="H471" s="426">
        <v>696.73472000000004</v>
      </c>
      <c r="I471" s="425">
        <v>24.200420000000001</v>
      </c>
      <c r="J471" s="425">
        <v>82.34</v>
      </c>
      <c r="K471" s="425">
        <v>7894.2016700000004</v>
      </c>
      <c r="L471" s="542" t="s">
        <v>621</v>
      </c>
      <c r="M471" s="423" t="s">
        <v>699</v>
      </c>
      <c r="N471" s="206">
        <v>503.6943</v>
      </c>
      <c r="O471" s="546"/>
      <c r="R471" s="206"/>
    </row>
    <row r="472" spans="1:18" ht="15">
      <c r="A472" s="427">
        <v>196711</v>
      </c>
      <c r="B472" t="str">
        <f t="shared" si="15"/>
        <v>ASTIN Lux II úch.lišta 2,7m strieborná</v>
      </c>
      <c r="C472" s="209">
        <f t="shared" si="16"/>
        <v>24.1281</v>
      </c>
      <c r="D472" s="542" t="s">
        <v>4700</v>
      </c>
      <c r="E472" s="542" t="s">
        <v>2725</v>
      </c>
      <c r="F472" s="542" t="s">
        <v>4701</v>
      </c>
      <c r="G472" s="542" t="s">
        <v>979</v>
      </c>
      <c r="H472" s="426">
        <v>667.86720000000003</v>
      </c>
      <c r="I472" s="425">
        <v>24.1281</v>
      </c>
      <c r="J472" s="425">
        <v>100.09724</v>
      </c>
      <c r="K472" s="425">
        <v>8071.5994600000004</v>
      </c>
      <c r="L472" s="542" t="s">
        <v>621</v>
      </c>
      <c r="M472" s="428" t="s">
        <v>699</v>
      </c>
      <c r="N472" s="206">
        <v>503.84719999999999</v>
      </c>
      <c r="O472" s="546"/>
      <c r="R472" s="206"/>
    </row>
    <row r="473" spans="1:18" ht="15">
      <c r="A473" s="424">
        <v>221220</v>
      </c>
      <c r="B473" t="str">
        <f t="shared" si="15"/>
        <v>SEVROLL Comfort spodné vedenie 3m oliva</v>
      </c>
      <c r="C473" s="209">
        <f t="shared" si="16"/>
        <v>27.623180000000001</v>
      </c>
      <c r="D473" s="542" t="s">
        <v>3870</v>
      </c>
      <c r="E473" s="542" t="s">
        <v>1159</v>
      </c>
      <c r="F473" s="542" t="s">
        <v>3871</v>
      </c>
      <c r="G473" s="542" t="s">
        <v>1661</v>
      </c>
      <c r="H473" s="426">
        <v>741.57056</v>
      </c>
      <c r="I473" s="425">
        <v>27.623180000000001</v>
      </c>
      <c r="J473" s="425">
        <v>113.8</v>
      </c>
      <c r="K473" s="425">
        <v>8402.2044100000003</v>
      </c>
      <c r="L473" s="542" t="s">
        <v>622</v>
      </c>
      <c r="M473" s="423" t="s">
        <v>699</v>
      </c>
      <c r="N473" s="206">
        <v>510.22730000000001</v>
      </c>
      <c r="O473" s="546"/>
      <c r="R473" s="206"/>
    </row>
    <row r="474" spans="1:18" ht="15">
      <c r="A474" s="424">
        <v>308666</v>
      </c>
      <c r="B474" t="str">
        <f t="shared" si="15"/>
        <v>SEVROLL Gemini spodné vedenie 4,05m oliva</v>
      </c>
      <c r="C474" s="209">
        <f t="shared" si="16"/>
        <v>26.321570000000001</v>
      </c>
      <c r="D474" s="542" t="s">
        <v>4523</v>
      </c>
      <c r="E474" s="542" t="s">
        <v>4524</v>
      </c>
      <c r="F474" s="542" t="s">
        <v>4525</v>
      </c>
      <c r="G474" s="542" t="s">
        <v>1970</v>
      </c>
      <c r="H474" s="426">
        <v>706.69824000000006</v>
      </c>
      <c r="I474" s="425">
        <v>26.321570000000001</v>
      </c>
      <c r="J474" s="425">
        <v>87.23</v>
      </c>
      <c r="K474" s="425">
        <v>8007.0911599999999</v>
      </c>
      <c r="L474" s="542" t="s">
        <v>621</v>
      </c>
      <c r="M474" s="423" t="s">
        <v>699</v>
      </c>
      <c r="N474" s="206">
        <v>510.88060000000002</v>
      </c>
      <c r="O474" s="546"/>
      <c r="R474" s="206"/>
    </row>
    <row r="475" spans="1:18" ht="15">
      <c r="A475" s="424">
        <v>350024</v>
      </c>
      <c r="B475" t="str">
        <f t="shared" si="15"/>
        <v/>
      </c>
      <c r="C475" s="209">
        <f t="shared" si="16"/>
        <v>27.220749999999999</v>
      </c>
      <c r="D475" s="542" t="s">
        <v>3230</v>
      </c>
      <c r="E475" s="542" t="s">
        <v>84</v>
      </c>
      <c r="F475" s="542" t="s">
        <v>84</v>
      </c>
      <c r="G475" s="542" t="s">
        <v>84</v>
      </c>
      <c r="H475" s="426">
        <v>631.25459999999998</v>
      </c>
      <c r="I475" s="425">
        <v>27.220749999999999</v>
      </c>
      <c r="J475" s="425">
        <v>103.94</v>
      </c>
      <c r="K475" s="425">
        <v>6781.4336899999998</v>
      </c>
      <c r="L475" s="542" t="s">
        <v>622</v>
      </c>
      <c r="M475" s="423" t="s">
        <v>703</v>
      </c>
      <c r="N475" s="206">
        <v>511.15859999999998</v>
      </c>
      <c r="O475" s="546"/>
      <c r="R475" s="206"/>
    </row>
    <row r="476" spans="1:18" ht="15">
      <c r="A476" s="424">
        <v>293776</v>
      </c>
      <c r="B476" t="str">
        <f t="shared" si="15"/>
        <v>SEVROLL tlmič doraz.Simple 10/18 40kg(L+P)</v>
      </c>
      <c r="C476" s="209">
        <f t="shared" si="16"/>
        <v>27.220749999999999</v>
      </c>
      <c r="D476" s="542" t="s">
        <v>3019</v>
      </c>
      <c r="E476" s="542" t="s">
        <v>2572</v>
      </c>
      <c r="F476" s="542" t="s">
        <v>3021</v>
      </c>
      <c r="G476" s="542" t="s">
        <v>3020</v>
      </c>
      <c r="H476" s="426">
        <v>631.25459999999998</v>
      </c>
      <c r="I476" s="425">
        <v>27.220749999999999</v>
      </c>
      <c r="J476" s="425">
        <v>103.94</v>
      </c>
      <c r="K476" s="425">
        <v>6781.4336899999998</v>
      </c>
      <c r="L476" s="542" t="s">
        <v>622</v>
      </c>
      <c r="M476" s="423" t="s">
        <v>699</v>
      </c>
      <c r="N476" s="206">
        <v>511.15859999999998</v>
      </c>
      <c r="O476" s="546"/>
      <c r="R476" s="206"/>
    </row>
    <row r="477" spans="1:18" ht="15">
      <c r="A477" s="424">
        <v>284957</v>
      </c>
      <c r="B477" t="str">
        <f t="shared" si="15"/>
        <v>SEVROLL Maxim vod.lišta 2,5m oliva</v>
      </c>
      <c r="C477" s="209">
        <f t="shared" si="16"/>
        <v>25.79128</v>
      </c>
      <c r="D477" s="542" t="s">
        <v>3453</v>
      </c>
      <c r="E477" s="542" t="s">
        <v>2227</v>
      </c>
      <c r="F477" s="542" t="s">
        <v>3454</v>
      </c>
      <c r="G477" s="542" t="s">
        <v>2228</v>
      </c>
      <c r="H477" s="426">
        <v>742.99392</v>
      </c>
      <c r="I477" s="425">
        <v>25.79128</v>
      </c>
      <c r="J477" s="425">
        <v>87.8</v>
      </c>
      <c r="K477" s="425">
        <v>8418.3314900000005</v>
      </c>
      <c r="L477" s="542" t="s">
        <v>622</v>
      </c>
      <c r="M477" s="423" t="s">
        <v>699</v>
      </c>
      <c r="N477" s="206">
        <v>511.53390000000002</v>
      </c>
      <c r="O477" s="546"/>
      <c r="R477" s="206"/>
    </row>
    <row r="478" spans="1:18" ht="15">
      <c r="A478" s="424">
        <v>205074</v>
      </c>
      <c r="B478" t="str">
        <f t="shared" si="15"/>
        <v>SEVROLL Fox II úch.lišta 2,7m oliva tm.kartá</v>
      </c>
      <c r="C478" s="209">
        <f t="shared" si="16"/>
        <v>25.333300000000001</v>
      </c>
      <c r="D478" s="542" t="s">
        <v>3716</v>
      </c>
      <c r="E478" s="542" t="s">
        <v>1877</v>
      </c>
      <c r="F478" s="542" t="s">
        <v>3717</v>
      </c>
      <c r="G478" s="542" t="s">
        <v>1878</v>
      </c>
      <c r="H478" s="426">
        <v>729.47199999999998</v>
      </c>
      <c r="I478" s="425">
        <v>25.333300000000001</v>
      </c>
      <c r="J478" s="425">
        <v>92.44</v>
      </c>
      <c r="K478" s="425">
        <v>8265.1243099999992</v>
      </c>
      <c r="L478" s="542" t="s">
        <v>622</v>
      </c>
      <c r="M478" s="423" t="s">
        <v>699</v>
      </c>
      <c r="N478" s="206">
        <v>517.41359999999997</v>
      </c>
      <c r="O478" s="546"/>
      <c r="R478" s="206"/>
    </row>
    <row r="479" spans="1:18" ht="15">
      <c r="A479" s="424">
        <v>262429</v>
      </c>
      <c r="B479" t="str">
        <f t="shared" si="15"/>
        <v>SEVROLL Optima spodné vedenie 6m surová</v>
      </c>
      <c r="C479" s="209">
        <f t="shared" si="16"/>
        <v>26.225149999999999</v>
      </c>
      <c r="D479" s="542" t="s">
        <v>3413</v>
      </c>
      <c r="E479" s="542" t="s">
        <v>1431</v>
      </c>
      <c r="F479" s="542" t="s">
        <v>3414</v>
      </c>
      <c r="G479" s="542" t="s">
        <v>2282</v>
      </c>
      <c r="H479" s="426">
        <v>755.80416000000002</v>
      </c>
      <c r="I479" s="425">
        <v>26.225149999999999</v>
      </c>
      <c r="J479" s="425">
        <v>89.32</v>
      </c>
      <c r="K479" s="425">
        <v>8563.4751300000007</v>
      </c>
      <c r="L479" s="542" t="s">
        <v>622</v>
      </c>
      <c r="M479" s="423" t="s">
        <v>699</v>
      </c>
      <c r="N479" s="206">
        <v>519.37350000000004</v>
      </c>
      <c r="O479" s="546"/>
      <c r="R479" s="206"/>
    </row>
    <row r="480" spans="1:18" ht="15">
      <c r="A480" s="424">
        <v>278056</v>
      </c>
      <c r="B480" t="str">
        <f t="shared" si="15"/>
        <v>SEVROLL Pax úch.lišta 2,7 strieborná</v>
      </c>
      <c r="C480" s="209">
        <f t="shared" si="16"/>
        <v>23.621919999999999</v>
      </c>
      <c r="D480" s="542" t="s">
        <v>4316</v>
      </c>
      <c r="E480" s="542" t="s">
        <v>2297</v>
      </c>
      <c r="F480" s="542" t="s">
        <v>4317</v>
      </c>
      <c r="G480" s="542" t="s">
        <v>2298</v>
      </c>
      <c r="H480" s="426">
        <v>719.50847999999996</v>
      </c>
      <c r="I480" s="425">
        <v>23.621919999999999</v>
      </c>
      <c r="J480" s="425">
        <v>85.03</v>
      </c>
      <c r="K480" s="425">
        <v>8152.2348199999997</v>
      </c>
      <c r="L480" s="542" t="s">
        <v>621</v>
      </c>
      <c r="M480" s="423" t="s">
        <v>699</v>
      </c>
      <c r="N480" s="206">
        <v>519.37350000000004</v>
      </c>
      <c r="O480" s="546"/>
      <c r="R480" s="206"/>
    </row>
    <row r="481" spans="1:18" ht="15">
      <c r="A481" s="424">
        <v>188680</v>
      </c>
      <c r="B481" t="str">
        <f t="shared" si="15"/>
        <v>SEVROLL Prosper II úch.lišta 2,7m strieborná</v>
      </c>
      <c r="C481" s="209">
        <f t="shared" si="16"/>
        <v>24.97174</v>
      </c>
      <c r="D481" s="542" t="s">
        <v>4303</v>
      </c>
      <c r="E481" s="542" t="s">
        <v>2351</v>
      </c>
      <c r="F481" s="542" t="s">
        <v>4304</v>
      </c>
      <c r="G481" s="542" t="s">
        <v>2352</v>
      </c>
      <c r="H481" s="426">
        <v>719.50847999999996</v>
      </c>
      <c r="I481" s="425">
        <v>24.97174</v>
      </c>
      <c r="J481" s="425">
        <v>85.03</v>
      </c>
      <c r="K481" s="425">
        <v>8152.2348199999997</v>
      </c>
      <c r="L481" s="542" t="s">
        <v>621</v>
      </c>
      <c r="M481" s="423" t="s">
        <v>699</v>
      </c>
      <c r="N481" s="206">
        <v>519.37350000000004</v>
      </c>
      <c r="O481" s="546"/>
      <c r="R481" s="206"/>
    </row>
    <row r="482" spans="1:18" ht="15">
      <c r="A482" s="424">
        <v>284539</v>
      </c>
      <c r="B482" t="str">
        <f t="shared" si="15"/>
        <v>SEVROLL Rex úchytová lišta 2,7m strieborná</v>
      </c>
      <c r="C482" s="209">
        <f t="shared" si="16"/>
        <v>24.97174</v>
      </c>
      <c r="D482" s="542" t="s">
        <v>4297</v>
      </c>
      <c r="E482" s="542" t="s">
        <v>1466</v>
      </c>
      <c r="F482" s="542" t="s">
        <v>4298</v>
      </c>
      <c r="G482" s="542" t="s">
        <v>2359</v>
      </c>
      <c r="H482" s="426">
        <v>719.50847999999996</v>
      </c>
      <c r="I482" s="425">
        <v>24.97174</v>
      </c>
      <c r="J482" s="425">
        <v>85.03</v>
      </c>
      <c r="K482" s="425">
        <v>8152.2348199999997</v>
      </c>
      <c r="L482" s="542" t="s">
        <v>621</v>
      </c>
      <c r="M482" s="423" t="s">
        <v>699</v>
      </c>
      <c r="N482" s="206">
        <v>519.37350000000004</v>
      </c>
      <c r="O482" s="546"/>
      <c r="R482" s="206"/>
    </row>
    <row r="483" spans="1:18" ht="15">
      <c r="A483" s="424">
        <v>349817</v>
      </c>
      <c r="B483" t="str">
        <f t="shared" si="15"/>
        <v/>
      </c>
      <c r="C483" s="209">
        <f t="shared" si="16"/>
        <v>30.917480000000001</v>
      </c>
      <c r="D483" s="542" t="s">
        <v>3899</v>
      </c>
      <c r="E483" s="542" t="s">
        <v>1618</v>
      </c>
      <c r="F483" s="542" t="s">
        <v>84</v>
      </c>
      <c r="G483" s="542" t="s">
        <v>84</v>
      </c>
      <c r="H483" s="426">
        <v>725.83019999999999</v>
      </c>
      <c r="I483" s="425">
        <v>30.917480000000001</v>
      </c>
      <c r="J483" s="425">
        <v>113.67</v>
      </c>
      <c r="K483" s="425">
        <v>7797.43923</v>
      </c>
      <c r="L483" s="542" t="s">
        <v>623</v>
      </c>
      <c r="M483" s="423" t="s">
        <v>699</v>
      </c>
      <c r="N483" s="206">
        <v>520.16579999999999</v>
      </c>
      <c r="O483" s="546"/>
      <c r="R483" s="206"/>
    </row>
    <row r="484" spans="1:18" ht="15">
      <c r="A484" s="424">
        <v>135710</v>
      </c>
      <c r="B484" t="str">
        <f t="shared" si="15"/>
        <v>SEVROLL Comfor 16 II úch.lišta 2,7m oliva</v>
      </c>
      <c r="C484" s="209">
        <f t="shared" si="16"/>
        <v>28.20168</v>
      </c>
      <c r="D484" s="542" t="s">
        <v>3891</v>
      </c>
      <c r="E484" s="542" t="s">
        <v>1379</v>
      </c>
      <c r="F484" s="542" t="s">
        <v>3892</v>
      </c>
      <c r="G484" s="542" t="s">
        <v>1644</v>
      </c>
      <c r="H484" s="426">
        <v>757.22752000000003</v>
      </c>
      <c r="I484" s="425">
        <v>28.20168</v>
      </c>
      <c r="J484" s="425">
        <v>104.6</v>
      </c>
      <c r="K484" s="425">
        <v>8579.6022099999991</v>
      </c>
      <c r="L484" s="542" t="s">
        <v>622</v>
      </c>
      <c r="M484" s="423" t="s">
        <v>699</v>
      </c>
      <c r="N484" s="206">
        <v>520.68010000000004</v>
      </c>
      <c r="O484" s="546"/>
      <c r="R484" s="206"/>
    </row>
    <row r="485" spans="1:18" ht="15">
      <c r="A485" s="424">
        <v>135556</v>
      </c>
      <c r="B485" t="str">
        <f t="shared" si="15"/>
        <v>SEVROLL Comfor 18 II úchytová lišta 2,7m oli</v>
      </c>
      <c r="C485" s="209">
        <f t="shared" si="16"/>
        <v>28.20168</v>
      </c>
      <c r="D485" s="542" t="s">
        <v>3887</v>
      </c>
      <c r="E485" s="542" t="s">
        <v>1374</v>
      </c>
      <c r="F485" s="542" t="s">
        <v>3888</v>
      </c>
      <c r="G485" s="542" t="s">
        <v>1647</v>
      </c>
      <c r="H485" s="426">
        <v>757.22752000000003</v>
      </c>
      <c r="I485" s="425">
        <v>28.20168</v>
      </c>
      <c r="J485" s="425">
        <v>104.6</v>
      </c>
      <c r="K485" s="425">
        <v>8579.6022099999991</v>
      </c>
      <c r="L485" s="542" t="s">
        <v>622</v>
      </c>
      <c r="M485" s="423" t="s">
        <v>699</v>
      </c>
      <c r="N485" s="206">
        <v>520.68010000000004</v>
      </c>
      <c r="O485" s="546"/>
      <c r="R485" s="206"/>
    </row>
    <row r="486" spans="1:18" ht="15">
      <c r="A486" s="424">
        <v>223573</v>
      </c>
      <c r="B486" t="str">
        <f t="shared" si="15"/>
        <v>SEVROLL karat úchytová lišta 2,7m oliva</v>
      </c>
      <c r="C486" s="209">
        <f t="shared" si="16"/>
        <v>25.984110000000001</v>
      </c>
      <c r="D486" s="542" t="s">
        <v>3554</v>
      </c>
      <c r="E486" s="542" t="s">
        <v>1026</v>
      </c>
      <c r="F486" s="542" t="s">
        <v>3555</v>
      </c>
      <c r="G486" s="542" t="s">
        <v>2060</v>
      </c>
      <c r="H486" s="426">
        <v>766.47936000000004</v>
      </c>
      <c r="I486" s="425">
        <v>25.984110000000001</v>
      </c>
      <c r="J486" s="425">
        <v>90.58</v>
      </c>
      <c r="K486" s="425">
        <v>8684.4281800000008</v>
      </c>
      <c r="L486" s="542" t="s">
        <v>622</v>
      </c>
      <c r="M486" s="423" t="s">
        <v>699</v>
      </c>
      <c r="N486" s="206">
        <v>527.21310000000005</v>
      </c>
      <c r="O486" s="546"/>
      <c r="R486" s="206"/>
    </row>
    <row r="487" spans="1:18" ht="15">
      <c r="A487" s="429">
        <v>223509</v>
      </c>
      <c r="B487" t="str">
        <f t="shared" si="15"/>
        <v>SEVROLL horné vedenie Herkules 2 2m alu</v>
      </c>
      <c r="C487" s="209">
        <f t="shared" si="16"/>
        <v>34.926699999999997</v>
      </c>
      <c r="D487" s="542" t="s">
        <v>3659</v>
      </c>
      <c r="E487" s="542" t="s">
        <v>2761</v>
      </c>
      <c r="F487" s="542" t="s">
        <v>3660</v>
      </c>
      <c r="G487" s="542" t="s">
        <v>2836</v>
      </c>
      <c r="H487" s="426">
        <v>852.08112000000006</v>
      </c>
      <c r="I487" s="425">
        <v>34.926699999999997</v>
      </c>
      <c r="J487" s="425">
        <v>99.86</v>
      </c>
      <c r="K487" s="425">
        <v>9579.4806700000008</v>
      </c>
      <c r="L487" s="542" t="s">
        <v>622</v>
      </c>
      <c r="M487" s="430" t="s">
        <v>699</v>
      </c>
      <c r="N487" s="206">
        <v>531.35252000000003</v>
      </c>
      <c r="O487" s="546"/>
      <c r="R487" s="206"/>
    </row>
    <row r="488" spans="1:18" ht="15">
      <c r="A488" s="429">
        <v>251132</v>
      </c>
      <c r="B488" t="str">
        <f t="shared" si="15"/>
        <v>SEVROLL dolné vedenie Hide N 6m str.</v>
      </c>
      <c r="C488" s="209">
        <f t="shared" si="16"/>
        <v>26.58671</v>
      </c>
      <c r="D488" s="542" t="s">
        <v>3602</v>
      </c>
      <c r="E488" s="542" t="s">
        <v>2747</v>
      </c>
      <c r="F488" s="542" t="s">
        <v>3603</v>
      </c>
      <c r="G488" s="542" t="s">
        <v>2807</v>
      </c>
      <c r="H488" s="426">
        <v>771.03300000000002</v>
      </c>
      <c r="I488" s="425">
        <v>26.58671</v>
      </c>
      <c r="J488" s="425">
        <v>88.8</v>
      </c>
      <c r="K488" s="425">
        <v>8668.3011000000006</v>
      </c>
      <c r="L488" s="542" t="s">
        <v>622</v>
      </c>
      <c r="M488" s="430" t="s">
        <v>699</v>
      </c>
      <c r="N488" s="206">
        <v>533.24570000000006</v>
      </c>
      <c r="O488" s="546"/>
      <c r="R488" s="206"/>
    </row>
    <row r="489" spans="1:18" ht="15">
      <c r="A489" s="424">
        <v>349801</v>
      </c>
      <c r="B489" t="str">
        <f t="shared" ref="B489:B512" si="17">IF($A$2=1,D489,IF($A$2=2,F489,IF($A$2=3,G489,IF($A$2=4,E489,"zadat jazyk"))))</f>
        <v>SEVROLL Blue horné vedenie 3m oliva</v>
      </c>
      <c r="C489" s="209">
        <f t="shared" si="16"/>
        <v>31.79842</v>
      </c>
      <c r="D489" s="542" t="s">
        <v>4675</v>
      </c>
      <c r="E489" s="542" t="s">
        <v>1591</v>
      </c>
      <c r="F489" s="542" t="s">
        <v>4676</v>
      </c>
      <c r="G489" s="542" t="s">
        <v>84</v>
      </c>
      <c r="H489" s="426">
        <v>708.56640000000004</v>
      </c>
      <c r="I489" s="425">
        <v>31.79842</v>
      </c>
      <c r="J489" s="425">
        <v>81.69</v>
      </c>
      <c r="K489" s="425">
        <v>7611.9778999999999</v>
      </c>
      <c r="L489" s="542" t="s">
        <v>621</v>
      </c>
      <c r="M489" s="423" t="s">
        <v>699</v>
      </c>
      <c r="N489" s="206">
        <v>533.67660000000001</v>
      </c>
      <c r="O489" s="546"/>
      <c r="R489" s="206"/>
    </row>
    <row r="490" spans="1:18" ht="15">
      <c r="A490" s="424">
        <v>135684</v>
      </c>
      <c r="B490" t="str">
        <f t="shared" si="17"/>
        <v>SEVROLL Unicomfort II úch.lišta 2,7m str.</v>
      </c>
      <c r="C490" s="209">
        <f t="shared" si="16"/>
        <v>25.76718</v>
      </c>
      <c r="D490" s="542" t="s">
        <v>4120</v>
      </c>
      <c r="E490" s="542" t="s">
        <v>1375</v>
      </c>
      <c r="F490" s="542" t="s">
        <v>4121</v>
      </c>
      <c r="G490" s="542" t="s">
        <v>2642</v>
      </c>
      <c r="H490" s="426">
        <v>742.28224</v>
      </c>
      <c r="I490" s="425">
        <v>25.76718</v>
      </c>
      <c r="J490" s="425">
        <v>92.09</v>
      </c>
      <c r="K490" s="425">
        <v>8410.2679499999995</v>
      </c>
      <c r="L490" s="542" t="s">
        <v>621</v>
      </c>
      <c r="M490" s="423" t="s">
        <v>699</v>
      </c>
      <c r="N490" s="206">
        <v>536.35929999999996</v>
      </c>
      <c r="O490" s="546"/>
      <c r="R490" s="206"/>
    </row>
    <row r="491" spans="1:18" ht="15">
      <c r="A491" s="424">
        <v>197747</v>
      </c>
      <c r="B491" t="str">
        <f t="shared" si="17"/>
        <v>SEVROLL Optima horné vedenie 2m strieborná</v>
      </c>
      <c r="C491" s="209">
        <f t="shared" si="16"/>
        <v>27.0929</v>
      </c>
      <c r="D491" s="542" t="s">
        <v>3424</v>
      </c>
      <c r="E491" s="542" t="s">
        <v>919</v>
      </c>
      <c r="F491" s="542" t="s">
        <v>3425</v>
      </c>
      <c r="G491" s="542" t="s">
        <v>2274</v>
      </c>
      <c r="H491" s="426">
        <v>780.00127999999995</v>
      </c>
      <c r="I491" s="425">
        <v>27.0929</v>
      </c>
      <c r="J491" s="425">
        <v>92.18</v>
      </c>
      <c r="K491" s="425">
        <v>8837.6353600000002</v>
      </c>
      <c r="L491" s="542" t="s">
        <v>622</v>
      </c>
      <c r="M491" s="423" t="s">
        <v>699</v>
      </c>
      <c r="N491" s="206">
        <v>537.01260000000002</v>
      </c>
      <c r="O491" s="546"/>
      <c r="R491" s="206"/>
    </row>
    <row r="492" spans="1:18" ht="15">
      <c r="A492" s="429">
        <v>227185</v>
      </c>
      <c r="B492" t="str">
        <f t="shared" si="17"/>
        <v>K-SEVROLL tlmič dorazu 10/18mm 14-25kg(L+P)</v>
      </c>
      <c r="C492" s="209">
        <f t="shared" si="16"/>
        <v>0</v>
      </c>
      <c r="D492" s="542" t="s">
        <v>4687</v>
      </c>
      <c r="E492" s="542" t="s">
        <v>1139</v>
      </c>
      <c r="F492" s="542" t="s">
        <v>4688</v>
      </c>
      <c r="G492" s="542" t="s">
        <v>1568</v>
      </c>
      <c r="H492" s="426">
        <v>0</v>
      </c>
      <c r="I492" s="425">
        <v>0</v>
      </c>
      <c r="J492" s="425">
        <v>0</v>
      </c>
      <c r="K492" s="425">
        <v>0</v>
      </c>
      <c r="L492" s="542" t="s">
        <v>621</v>
      </c>
      <c r="M492" s="430" t="s">
        <v>700</v>
      </c>
      <c r="N492" s="206">
        <v>538.31920000000002</v>
      </c>
      <c r="O492" s="546"/>
      <c r="R492" s="206"/>
    </row>
    <row r="493" spans="1:18" ht="15">
      <c r="A493" s="429">
        <v>227187</v>
      </c>
      <c r="B493" t="str">
        <f t="shared" si="17"/>
        <v>K-SEVROLL tlmič dorazu 10/18mm 25-50kg(L+P)</v>
      </c>
      <c r="C493" s="209">
        <f t="shared" si="16"/>
        <v>0</v>
      </c>
      <c r="D493" s="542" t="s">
        <v>4685</v>
      </c>
      <c r="E493" s="542" t="s">
        <v>1569</v>
      </c>
      <c r="F493" s="542" t="s">
        <v>4686</v>
      </c>
      <c r="G493" s="542" t="s">
        <v>1570</v>
      </c>
      <c r="H493" s="426">
        <v>0</v>
      </c>
      <c r="I493" s="425">
        <v>0</v>
      </c>
      <c r="J493" s="425">
        <v>0</v>
      </c>
      <c r="K493" s="425">
        <v>0</v>
      </c>
      <c r="L493" s="542" t="s">
        <v>621</v>
      </c>
      <c r="M493" s="430" t="s">
        <v>700</v>
      </c>
      <c r="N493" s="206">
        <v>538.31920000000002</v>
      </c>
      <c r="O493" s="546"/>
      <c r="R493" s="206"/>
    </row>
    <row r="494" spans="1:18" ht="15">
      <c r="A494" s="424">
        <v>163108</v>
      </c>
      <c r="B494" t="str">
        <f t="shared" si="17"/>
        <v>SEVROLL Doubler II spodné vedenie 3m str.</v>
      </c>
      <c r="C494" s="209">
        <f t="shared" si="16"/>
        <v>28.008849999999999</v>
      </c>
      <c r="D494" s="542" t="s">
        <v>4643</v>
      </c>
      <c r="E494" s="542" t="s">
        <v>1702</v>
      </c>
      <c r="F494" s="542" t="s">
        <v>4644</v>
      </c>
      <c r="G494" s="542" t="s">
        <v>1703</v>
      </c>
      <c r="H494" s="426">
        <v>751.53408000000002</v>
      </c>
      <c r="I494" s="425">
        <v>28.008849999999999</v>
      </c>
      <c r="J494" s="425">
        <v>96.46</v>
      </c>
      <c r="K494" s="425">
        <v>8515.0939199999993</v>
      </c>
      <c r="L494" s="542" t="s">
        <v>621</v>
      </c>
      <c r="M494" s="423" t="s">
        <v>699</v>
      </c>
      <c r="N494" s="206">
        <v>542.89229999999998</v>
      </c>
      <c r="O494" s="546"/>
      <c r="R494" s="206"/>
    </row>
    <row r="495" spans="1:18" ht="15">
      <c r="A495" s="424">
        <v>89071</v>
      </c>
      <c r="B495" t="str">
        <f t="shared" si="17"/>
        <v>SEVROLL spojovacia lišta H30 3m oliva</v>
      </c>
      <c r="C495" s="209">
        <f t="shared" si="16"/>
        <v>25.863589999999999</v>
      </c>
      <c r="D495" s="542" t="s">
        <v>4195</v>
      </c>
      <c r="E495" s="542" t="s">
        <v>863</v>
      </c>
      <c r="F495" s="542" t="s">
        <v>4196</v>
      </c>
      <c r="G495" s="542" t="s">
        <v>2530</v>
      </c>
      <c r="H495" s="426">
        <v>757.93920000000003</v>
      </c>
      <c r="I495" s="425">
        <v>25.863589999999999</v>
      </c>
      <c r="J495" s="425">
        <v>89.57</v>
      </c>
      <c r="K495" s="425">
        <v>8587.6657400000004</v>
      </c>
      <c r="L495" s="542" t="s">
        <v>621</v>
      </c>
      <c r="M495" s="423" t="s">
        <v>699</v>
      </c>
      <c r="N495" s="206">
        <v>547.46540000000005</v>
      </c>
      <c r="O495" s="546"/>
      <c r="R495" s="206"/>
    </row>
    <row r="496" spans="1:18" ht="15">
      <c r="A496" s="424">
        <v>278057</v>
      </c>
      <c r="B496" t="str">
        <f t="shared" si="17"/>
        <v>SEVROLL Pax úchytová lišta 3m strieborná</v>
      </c>
      <c r="C496" s="209">
        <f t="shared" si="16"/>
        <v>26.27336</v>
      </c>
      <c r="D496" s="542" t="s">
        <v>3401</v>
      </c>
      <c r="E496" s="542" t="s">
        <v>1442</v>
      </c>
      <c r="F496" s="542" t="s">
        <v>3402</v>
      </c>
      <c r="G496" s="542" t="s">
        <v>2299</v>
      </c>
      <c r="H496" s="426">
        <v>799.21663999999998</v>
      </c>
      <c r="I496" s="425">
        <v>26.27336</v>
      </c>
      <c r="J496" s="425">
        <v>94.45</v>
      </c>
      <c r="K496" s="425">
        <v>9055.3508199999997</v>
      </c>
      <c r="L496" s="542" t="s">
        <v>622</v>
      </c>
      <c r="M496" s="423" t="s">
        <v>699</v>
      </c>
      <c r="N496" s="206">
        <v>550.07860000000005</v>
      </c>
      <c r="O496" s="546"/>
      <c r="R496" s="206"/>
    </row>
    <row r="497" spans="1:18" ht="15">
      <c r="A497" s="427">
        <v>196709</v>
      </c>
      <c r="B497" t="str">
        <f t="shared" si="17"/>
        <v>ASTIN Lux II úch.lišta 2,7m oliva</v>
      </c>
      <c r="C497" s="209">
        <f t="shared" si="16"/>
        <v>25.2851</v>
      </c>
      <c r="D497" s="542" t="s">
        <v>4702</v>
      </c>
      <c r="E497" s="542" t="s">
        <v>2726</v>
      </c>
      <c r="F497" s="542" t="s">
        <v>4703</v>
      </c>
      <c r="G497" s="542" t="s">
        <v>978</v>
      </c>
      <c r="H497" s="426">
        <v>724.92391999999995</v>
      </c>
      <c r="I497" s="425">
        <v>25.2851</v>
      </c>
      <c r="J497" s="425">
        <v>102.16219</v>
      </c>
      <c r="K497" s="425">
        <v>8204.1165199999996</v>
      </c>
      <c r="L497" s="542" t="s">
        <v>621</v>
      </c>
      <c r="M497" s="428" t="s">
        <v>699</v>
      </c>
      <c r="N497" s="206">
        <v>553.08100000000002</v>
      </c>
      <c r="O497" s="546"/>
      <c r="R497" s="206"/>
    </row>
    <row r="498" spans="1:18" ht="15">
      <c r="A498" s="424">
        <v>135685</v>
      </c>
      <c r="B498" t="str">
        <f t="shared" si="17"/>
        <v>SEVROLL Unicomfort II úchytová lišta 2,7m ol</v>
      </c>
      <c r="C498" s="209">
        <f t="shared" si="16"/>
        <v>28.346299999999999</v>
      </c>
      <c r="D498" s="542" t="s">
        <v>3188</v>
      </c>
      <c r="E498" s="542" t="s">
        <v>1376</v>
      </c>
      <c r="F498" s="542" t="s">
        <v>3189</v>
      </c>
      <c r="G498" s="542" t="s">
        <v>2640</v>
      </c>
      <c r="H498" s="426">
        <v>816.29696000000001</v>
      </c>
      <c r="I498" s="425">
        <v>28.346299999999999</v>
      </c>
      <c r="J498" s="425">
        <v>101.29</v>
      </c>
      <c r="K498" s="425">
        <v>9248.8756900000008</v>
      </c>
      <c r="L498" s="542" t="s">
        <v>622</v>
      </c>
      <c r="M498" s="423" t="s">
        <v>699</v>
      </c>
      <c r="N498" s="206">
        <v>561.83799999999997</v>
      </c>
      <c r="O498" s="546"/>
      <c r="R498" s="206"/>
    </row>
    <row r="499" spans="1:18" ht="15">
      <c r="A499" s="424">
        <v>224014</v>
      </c>
      <c r="B499" t="str">
        <f t="shared" si="17"/>
        <v>SEVROLL Simple horné vedenie 4m strieborná</v>
      </c>
      <c r="C499" s="209">
        <f t="shared" si="16"/>
        <v>35.64038</v>
      </c>
      <c r="D499" s="542" t="s">
        <v>3055</v>
      </c>
      <c r="E499" s="542" t="s">
        <v>2386</v>
      </c>
      <c r="F499" s="542" t="s">
        <v>3056</v>
      </c>
      <c r="G499" s="542" t="s">
        <v>2387</v>
      </c>
      <c r="H499" s="426">
        <v>770.11559999999997</v>
      </c>
      <c r="I499" s="425">
        <v>35.64038</v>
      </c>
      <c r="J499" s="425">
        <v>92.78</v>
      </c>
      <c r="K499" s="425">
        <v>8273.1878500000003</v>
      </c>
      <c r="L499" s="542" t="s">
        <v>622</v>
      </c>
      <c r="M499" s="423" t="s">
        <v>699</v>
      </c>
      <c r="N499" s="206">
        <v>566.70299999999997</v>
      </c>
      <c r="O499" s="546"/>
      <c r="R499" s="206"/>
    </row>
    <row r="500" spans="1:18" ht="15">
      <c r="A500" s="424">
        <v>278058</v>
      </c>
      <c r="B500" t="str">
        <f t="shared" si="17"/>
        <v>SEVROLL Pax horná vodiaca lišta 3m stieb</v>
      </c>
      <c r="C500" s="209">
        <f t="shared" si="16"/>
        <v>25.839490000000001</v>
      </c>
      <c r="D500" s="542" t="s">
        <v>4324</v>
      </c>
      <c r="E500" s="542" t="s">
        <v>1446</v>
      </c>
      <c r="F500" s="542" t="s">
        <v>4325</v>
      </c>
      <c r="G500" s="542" t="s">
        <v>2286</v>
      </c>
      <c r="H500" s="426">
        <v>784.98303999999996</v>
      </c>
      <c r="I500" s="425">
        <v>25.839490000000001</v>
      </c>
      <c r="J500" s="425">
        <v>92.76</v>
      </c>
      <c r="K500" s="425">
        <v>8894.0800999999992</v>
      </c>
      <c r="L500" s="542" t="s">
        <v>621</v>
      </c>
      <c r="M500" s="423" t="s">
        <v>699</v>
      </c>
      <c r="N500" s="206">
        <v>567.06439999999998</v>
      </c>
      <c r="O500" s="546"/>
      <c r="R500" s="206"/>
    </row>
    <row r="501" spans="1:18" ht="15">
      <c r="A501" s="424">
        <v>100102</v>
      </c>
      <c r="B501" t="str">
        <f t="shared" si="17"/>
        <v>SEVROLL Master úchytová lišta 2,7m striebor</v>
      </c>
      <c r="C501" s="209">
        <f t="shared" si="16"/>
        <v>27.165209999999998</v>
      </c>
      <c r="D501" s="542" t="s">
        <v>3502</v>
      </c>
      <c r="E501" s="542" t="s">
        <v>2146</v>
      </c>
      <c r="F501" s="542" t="s">
        <v>3503</v>
      </c>
      <c r="G501" s="542" t="s">
        <v>2147</v>
      </c>
      <c r="H501" s="426">
        <v>824.12544000000003</v>
      </c>
      <c r="I501" s="425">
        <v>27.165209999999998</v>
      </c>
      <c r="J501" s="425">
        <v>97.39</v>
      </c>
      <c r="K501" s="425">
        <v>9337.5745900000002</v>
      </c>
      <c r="L501" s="542" t="s">
        <v>622</v>
      </c>
      <c r="M501" s="423" t="s">
        <v>699</v>
      </c>
      <c r="N501" s="206">
        <v>567.71770000000004</v>
      </c>
      <c r="O501" s="546"/>
      <c r="R501" s="206"/>
    </row>
    <row r="502" spans="1:18" ht="15">
      <c r="A502" s="424">
        <v>163113</v>
      </c>
      <c r="B502" t="str">
        <f t="shared" si="17"/>
        <v>SEVROLL-SPOD.VED. DOUBLER II 3M OLIVA</v>
      </c>
      <c r="C502" s="209">
        <f t="shared" si="16"/>
        <v>30.780809999999999</v>
      </c>
      <c r="D502" s="542" t="s">
        <v>3846</v>
      </c>
      <c r="E502" s="542" t="s">
        <v>1700</v>
      </c>
      <c r="F502" s="542" t="s">
        <v>676</v>
      </c>
      <c r="G502" s="542" t="s">
        <v>1701</v>
      </c>
      <c r="H502" s="426">
        <v>826.26048000000003</v>
      </c>
      <c r="I502" s="425">
        <v>30.780809999999999</v>
      </c>
      <c r="J502" s="425">
        <v>106.12</v>
      </c>
      <c r="K502" s="425">
        <v>9361.7651999999998</v>
      </c>
      <c r="L502" s="542" t="s">
        <v>622</v>
      </c>
      <c r="M502" s="423" t="s">
        <v>699</v>
      </c>
      <c r="N502" s="206">
        <v>568.37099999999998</v>
      </c>
      <c r="O502" s="546"/>
      <c r="R502" s="206"/>
    </row>
    <row r="503" spans="1:18" ht="15">
      <c r="A503" s="424">
        <v>308632</v>
      </c>
      <c r="B503" t="str">
        <f t="shared" si="17"/>
        <v>SEVROLL Porto úchytová lišta 2,7m oliva</v>
      </c>
      <c r="C503" s="209">
        <f t="shared" si="16"/>
        <v>28.683759999999999</v>
      </c>
      <c r="D503" s="542" t="s">
        <v>3393</v>
      </c>
      <c r="E503" s="542" t="s">
        <v>2313</v>
      </c>
      <c r="F503" s="542" t="s">
        <v>3393</v>
      </c>
      <c r="G503" s="542" t="s">
        <v>2314</v>
      </c>
      <c r="H503" s="426">
        <v>826.26048000000003</v>
      </c>
      <c r="I503" s="425">
        <v>28.683759999999999</v>
      </c>
      <c r="J503" s="425">
        <v>97.64</v>
      </c>
      <c r="K503" s="425">
        <v>9361.7651999999998</v>
      </c>
      <c r="L503" s="542" t="s">
        <v>622</v>
      </c>
      <c r="M503" s="423" t="s">
        <v>699</v>
      </c>
      <c r="N503" s="206">
        <v>568.37099999999998</v>
      </c>
      <c r="O503" s="546"/>
      <c r="R503" s="206"/>
    </row>
    <row r="504" spans="1:18" ht="15">
      <c r="A504" s="424">
        <v>238030</v>
      </c>
      <c r="B504" t="str">
        <f t="shared" si="17"/>
        <v>SEVROLL Prosper II úch lišta 2 7m oliva</v>
      </c>
      <c r="C504" s="209">
        <f t="shared" si="16"/>
        <v>28.683759999999999</v>
      </c>
      <c r="D504" s="542" t="s">
        <v>3358</v>
      </c>
      <c r="E504" s="542" t="s">
        <v>1411</v>
      </c>
      <c r="F504" s="542" t="s">
        <v>3359</v>
      </c>
      <c r="G504" s="542" t="s">
        <v>2350</v>
      </c>
      <c r="H504" s="426">
        <v>826.26048000000003</v>
      </c>
      <c r="I504" s="425">
        <v>28.683759999999999</v>
      </c>
      <c r="J504" s="425">
        <v>97.64</v>
      </c>
      <c r="K504" s="425">
        <v>9361.7651999999998</v>
      </c>
      <c r="L504" s="542" t="s">
        <v>622</v>
      </c>
      <c r="M504" s="423" t="s">
        <v>699</v>
      </c>
      <c r="N504" s="206">
        <v>568.37099999999998</v>
      </c>
      <c r="O504" s="546"/>
      <c r="R504" s="206"/>
    </row>
    <row r="505" spans="1:18" ht="15">
      <c r="A505" s="424">
        <v>284592</v>
      </c>
      <c r="B505" t="str">
        <f t="shared" si="17"/>
        <v>SEVROLL Rex úchytová lišta 2,7m oliva</v>
      </c>
      <c r="C505" s="209">
        <f t="shared" si="16"/>
        <v>28.683759999999999</v>
      </c>
      <c r="D505" s="542" t="s">
        <v>3357</v>
      </c>
      <c r="E505" s="542" t="s">
        <v>2357</v>
      </c>
      <c r="F505" s="542" t="s">
        <v>3357</v>
      </c>
      <c r="G505" s="542" t="s">
        <v>2358</v>
      </c>
      <c r="H505" s="426">
        <v>826.26048000000003</v>
      </c>
      <c r="I505" s="425">
        <v>28.683759999999999</v>
      </c>
      <c r="J505" s="425">
        <v>97.64</v>
      </c>
      <c r="K505" s="425">
        <v>9361.7651999999998</v>
      </c>
      <c r="L505" s="542" t="s">
        <v>622</v>
      </c>
      <c r="M505" s="423" t="s">
        <v>699</v>
      </c>
      <c r="N505" s="206">
        <v>568.37099999999998</v>
      </c>
      <c r="O505" s="546"/>
      <c r="R505" s="206"/>
    </row>
    <row r="506" spans="1:18" ht="15">
      <c r="A506" s="424">
        <v>284975</v>
      </c>
      <c r="B506" t="str">
        <f t="shared" si="17"/>
        <v>SEVROLL Maxim II spodné vedenie 3,5m oliva</v>
      </c>
      <c r="C506" s="209">
        <f>$J$5</f>
        <v>0.43</v>
      </c>
      <c r="D506" s="542" t="s">
        <v>3480</v>
      </c>
      <c r="E506" s="542" t="s">
        <v>2186</v>
      </c>
      <c r="F506" s="542" t="s">
        <v>3481</v>
      </c>
      <c r="G506" s="542" t="s">
        <v>2187</v>
      </c>
      <c r="H506" s="426">
        <v>802.77503999999999</v>
      </c>
      <c r="I506" s="425">
        <v>27.86422</v>
      </c>
      <c r="J506" s="425">
        <v>94.87</v>
      </c>
      <c r="K506" s="425">
        <v>9095.6685099999995</v>
      </c>
      <c r="L506" s="542" t="s">
        <v>622</v>
      </c>
      <c r="M506" s="423" t="s">
        <v>699</v>
      </c>
      <c r="N506" s="206">
        <v>579.47709999999995</v>
      </c>
      <c r="O506" s="546"/>
      <c r="R506" s="206"/>
    </row>
    <row r="507" spans="1:18" ht="15">
      <c r="A507" s="424">
        <v>89111</v>
      </c>
      <c r="B507" t="str">
        <f t="shared" si="17"/>
        <v>SEVROLL Gemini horné vedenie 3m oliva</v>
      </c>
      <c r="C507" s="209">
        <f t="shared" ref="C507:C570" si="18">IF($A$2=1,H507,IF($A$2=2,I507,IF($A$2=3,J507,IF($A$2=4,K507,"zadat jazyk"))))</f>
        <v>33.070689999999999</v>
      </c>
      <c r="D507" s="542" t="s">
        <v>4553</v>
      </c>
      <c r="E507" s="542" t="s">
        <v>1921</v>
      </c>
      <c r="F507" s="542" t="s">
        <v>4554</v>
      </c>
      <c r="G507" s="542" t="s">
        <v>1922</v>
      </c>
      <c r="H507" s="426">
        <v>849.03423999999995</v>
      </c>
      <c r="I507" s="425">
        <v>33.070689999999999</v>
      </c>
      <c r="J507" s="425">
        <v>109.54</v>
      </c>
      <c r="K507" s="425">
        <v>9619.7983399999994</v>
      </c>
      <c r="L507" s="542" t="s">
        <v>621</v>
      </c>
      <c r="M507" s="423" t="s">
        <v>699</v>
      </c>
      <c r="N507" s="206">
        <v>586.66340000000002</v>
      </c>
      <c r="O507" s="546"/>
      <c r="R507" s="206"/>
    </row>
    <row r="508" spans="1:18" ht="15">
      <c r="A508" s="424">
        <v>89110</v>
      </c>
      <c r="B508" t="str">
        <f t="shared" si="17"/>
        <v>SEVROLL horné vedenie 3m zlatá</v>
      </c>
      <c r="C508" s="209">
        <f t="shared" si="18"/>
        <v>33.070689999999999</v>
      </c>
      <c r="D508" s="542" t="s">
        <v>3698</v>
      </c>
      <c r="E508" s="542" t="s">
        <v>1930</v>
      </c>
      <c r="F508" s="542" t="s">
        <v>3699</v>
      </c>
      <c r="G508" s="542" t="s">
        <v>1931</v>
      </c>
      <c r="H508" s="426">
        <v>849.03423999999995</v>
      </c>
      <c r="I508" s="425">
        <v>33.070689999999999</v>
      </c>
      <c r="J508" s="425">
        <v>109.54</v>
      </c>
      <c r="K508" s="425">
        <v>9619.7983399999994</v>
      </c>
      <c r="L508" s="542" t="s">
        <v>622</v>
      </c>
      <c r="M508" s="423" t="s">
        <v>699</v>
      </c>
      <c r="N508" s="206">
        <v>586.66340000000002</v>
      </c>
      <c r="O508" s="546"/>
      <c r="R508" s="206"/>
    </row>
    <row r="509" spans="1:18" ht="15">
      <c r="A509" s="424">
        <v>98077</v>
      </c>
      <c r="B509" t="str">
        <f t="shared" si="17"/>
        <v>SEVROLL Everest vodiaca lišta 3m strieborná</v>
      </c>
      <c r="C509" s="209">
        <f t="shared" si="18"/>
        <v>28.20168</v>
      </c>
      <c r="D509" s="542" t="s">
        <v>4604</v>
      </c>
      <c r="E509" s="542" t="s">
        <v>839</v>
      </c>
      <c r="F509" s="542" t="s">
        <v>4605</v>
      </c>
      <c r="G509" s="542" t="s">
        <v>1791</v>
      </c>
      <c r="H509" s="426">
        <v>812.73856000000001</v>
      </c>
      <c r="I509" s="425">
        <v>28.20168</v>
      </c>
      <c r="J509" s="425">
        <v>96.04</v>
      </c>
      <c r="K509" s="425">
        <v>9208.5580000000009</v>
      </c>
      <c r="L509" s="542" t="s">
        <v>621</v>
      </c>
      <c r="M509" s="423" t="s">
        <v>699</v>
      </c>
      <c r="N509" s="206">
        <v>587.31669999999997</v>
      </c>
      <c r="O509" s="546"/>
      <c r="R509" s="206"/>
    </row>
    <row r="510" spans="1:18" ht="15">
      <c r="A510" s="429">
        <v>279078</v>
      </c>
      <c r="B510" t="str">
        <f t="shared" si="17"/>
        <v>SEVROLL dolné vedenie Hide N 6m oliva</v>
      </c>
      <c r="C510" s="209">
        <f t="shared" si="18"/>
        <v>29.21405</v>
      </c>
      <c r="D510" s="542" t="s">
        <v>3604</v>
      </c>
      <c r="E510" s="542" t="s">
        <v>1515</v>
      </c>
      <c r="F510" s="542" t="s">
        <v>3605</v>
      </c>
      <c r="G510" s="542" t="s">
        <v>2808</v>
      </c>
      <c r="H510" s="426">
        <v>848.49491999999998</v>
      </c>
      <c r="I510" s="425">
        <v>29.21405</v>
      </c>
      <c r="J510" s="425">
        <v>97.72</v>
      </c>
      <c r="K510" s="425">
        <v>9539.1629799999992</v>
      </c>
      <c r="L510" s="542" t="s">
        <v>622</v>
      </c>
      <c r="M510" s="430" t="s">
        <v>699</v>
      </c>
      <c r="N510" s="206">
        <v>587.51685999999995</v>
      </c>
      <c r="O510" s="546"/>
      <c r="R510" s="206"/>
    </row>
    <row r="511" spans="1:18" ht="15">
      <c r="A511" s="424">
        <v>307703</v>
      </c>
      <c r="B511" t="str">
        <f t="shared" si="17"/>
        <v>SEVROLL Everest vodiaca lišta 3m oliva</v>
      </c>
      <c r="C511" s="209">
        <f t="shared" si="18"/>
        <v>29.720230000000001</v>
      </c>
      <c r="D511" s="542" t="s">
        <v>3803</v>
      </c>
      <c r="E511" s="542" t="s">
        <v>1789</v>
      </c>
      <c r="F511" s="542" t="s">
        <v>3804</v>
      </c>
      <c r="G511" s="542" t="s">
        <v>1790</v>
      </c>
      <c r="H511" s="426">
        <v>856.15103999999997</v>
      </c>
      <c r="I511" s="425">
        <v>29.720230000000001</v>
      </c>
      <c r="J511" s="425">
        <v>101.17</v>
      </c>
      <c r="K511" s="425">
        <v>9700.4336899999998</v>
      </c>
      <c r="L511" s="542" t="s">
        <v>622</v>
      </c>
      <c r="M511" s="423" t="s">
        <v>699</v>
      </c>
      <c r="N511" s="206">
        <v>589.27660000000003</v>
      </c>
      <c r="O511" s="546"/>
      <c r="R511" s="206"/>
    </row>
    <row r="512" spans="1:18" ht="15">
      <c r="A512" s="424">
        <v>351541</v>
      </c>
      <c r="B512" t="str">
        <f t="shared" si="17"/>
        <v>SEVROLL Gemini spodné vedenie 4,05m biela le</v>
      </c>
      <c r="C512" s="209">
        <f t="shared" si="18"/>
        <v>29.720230000000001</v>
      </c>
      <c r="D512" s="542" t="s">
        <v>3672</v>
      </c>
      <c r="E512" s="542" t="s">
        <v>3673</v>
      </c>
      <c r="F512" s="542" t="s">
        <v>3674</v>
      </c>
      <c r="G512" s="542" t="s">
        <v>84</v>
      </c>
      <c r="H512" s="426">
        <v>856.15103999999997</v>
      </c>
      <c r="I512" s="425">
        <v>29.720230000000001</v>
      </c>
      <c r="J512" s="425">
        <v>102.3</v>
      </c>
      <c r="K512" s="425">
        <v>9700.4336899999998</v>
      </c>
      <c r="L512" s="542" t="s">
        <v>622</v>
      </c>
      <c r="M512" s="423" t="s">
        <v>699</v>
      </c>
      <c r="N512" s="206">
        <v>589.27660000000003</v>
      </c>
      <c r="O512" s="546"/>
      <c r="R512" s="206"/>
    </row>
    <row r="513" spans="1:18" ht="15">
      <c r="A513" s="424">
        <v>212542</v>
      </c>
      <c r="B513" t="str">
        <f>IF($A$2=1,D513,IF($A$2=2,G513,IF($A$2=3,#REF!,IF($A$2=4,F513,"zadat jazyk"))))</f>
        <v>SEV-Star rączka  2,7m srebrny</v>
      </c>
      <c r="C513" s="209">
        <f t="shared" si="18"/>
        <v>28.804279999999999</v>
      </c>
      <c r="D513" s="542" t="s">
        <v>3248</v>
      </c>
      <c r="E513" s="542" t="s">
        <v>1395</v>
      </c>
      <c r="F513" s="542" t="s">
        <v>3249</v>
      </c>
      <c r="G513" s="542" t="s">
        <v>2543</v>
      </c>
      <c r="H513" s="426">
        <v>876.07808</v>
      </c>
      <c r="I513" s="425">
        <v>28.804279999999999</v>
      </c>
      <c r="J513" s="425">
        <v>103.53</v>
      </c>
      <c r="K513" s="425">
        <v>9926.2127199999995</v>
      </c>
      <c r="L513" s="542" t="s">
        <v>622</v>
      </c>
      <c r="M513" s="423" t="s">
        <v>699</v>
      </c>
      <c r="N513" s="206">
        <v>602.99590000000001</v>
      </c>
      <c r="O513" s="546"/>
      <c r="R513" s="206"/>
    </row>
    <row r="514" spans="1:18" ht="15">
      <c r="A514" s="424">
        <v>89035</v>
      </c>
      <c r="B514" t="str">
        <f t="shared" ref="B514:B538" si="19">IF($A$2=1,D514,IF($A$2=2,F514,IF($A$2=3,G514,IF($A$2=4,E514,"zadat jazyk"))))</f>
        <v>SEVROLL-SINGLE HORNÉ VEDENIE 3 M strieborná</v>
      </c>
      <c r="C514" s="209">
        <f t="shared" si="18"/>
        <v>29.117629999999998</v>
      </c>
      <c r="D514" s="542" t="s">
        <v>4282</v>
      </c>
      <c r="E514" s="542" t="s">
        <v>888</v>
      </c>
      <c r="F514" s="542" t="s">
        <v>4283</v>
      </c>
      <c r="G514" s="542" t="s">
        <v>2420</v>
      </c>
      <c r="H514" s="426">
        <v>838.35904000000005</v>
      </c>
      <c r="I514" s="425">
        <v>29.117629999999998</v>
      </c>
      <c r="J514" s="425">
        <v>99.07</v>
      </c>
      <c r="K514" s="425">
        <v>9498.8453100000006</v>
      </c>
      <c r="L514" s="542" t="s">
        <v>621</v>
      </c>
      <c r="M514" s="423" t="s">
        <v>699</v>
      </c>
      <c r="N514" s="206">
        <v>605.60910000000001</v>
      </c>
      <c r="O514" s="546"/>
      <c r="R514" s="206"/>
    </row>
    <row r="515" spans="1:18" ht="15">
      <c r="A515" s="429">
        <v>224161</v>
      </c>
      <c r="B515" t="str">
        <f t="shared" si="19"/>
        <v>SEVROLL Symetric sada kovania pre 2 krídla</v>
      </c>
      <c r="C515" s="209">
        <f t="shared" si="18"/>
        <v>37.023739999999997</v>
      </c>
      <c r="D515" s="542" t="s">
        <v>3244</v>
      </c>
      <c r="E515" s="542" t="s">
        <v>1322</v>
      </c>
      <c r="F515" s="542" t="s">
        <v>3245</v>
      </c>
      <c r="G515" s="542" t="s">
        <v>2801</v>
      </c>
      <c r="H515" s="426">
        <v>935.28096000000005</v>
      </c>
      <c r="I515" s="425">
        <v>37.023739999999997</v>
      </c>
      <c r="J515" s="425">
        <v>126.93455</v>
      </c>
      <c r="K515" s="425">
        <v>10514.85082</v>
      </c>
      <c r="L515" s="542" t="s">
        <v>622</v>
      </c>
      <c r="M515" s="430" t="s">
        <v>699</v>
      </c>
      <c r="N515" s="206">
        <v>610.86608000000001</v>
      </c>
      <c r="O515" s="546"/>
      <c r="R515" s="206"/>
    </row>
    <row r="516" spans="1:18" ht="15">
      <c r="A516" s="429">
        <v>223528</v>
      </c>
      <c r="B516" t="str">
        <f t="shared" si="19"/>
        <v>SEVROLL Herkules sada kovania 60kg</v>
      </c>
      <c r="C516" s="209">
        <f t="shared" si="18"/>
        <v>34.926699999999997</v>
      </c>
      <c r="D516" s="542" t="s">
        <v>3632</v>
      </c>
      <c r="E516" s="542" t="s">
        <v>1320</v>
      </c>
      <c r="F516" s="542" t="s">
        <v>3633</v>
      </c>
      <c r="G516" s="542" t="s">
        <v>2823</v>
      </c>
      <c r="H516" s="426">
        <v>882.20519999999999</v>
      </c>
      <c r="I516" s="425">
        <v>34.926699999999997</v>
      </c>
      <c r="J516" s="425">
        <v>101.6</v>
      </c>
      <c r="K516" s="425">
        <v>9918.1491800000003</v>
      </c>
      <c r="L516" s="542" t="s">
        <v>622</v>
      </c>
      <c r="M516" s="430" t="s">
        <v>700</v>
      </c>
      <c r="N516" s="206">
        <v>610.86608000000001</v>
      </c>
      <c r="O516" s="546"/>
      <c r="R516" s="206"/>
    </row>
    <row r="517" spans="1:18" ht="15">
      <c r="A517" s="429">
        <v>84172</v>
      </c>
      <c r="B517" t="str">
        <f t="shared" si="19"/>
        <v>SEV-Herkules-synchro mechanika na 2x50kg</v>
      </c>
      <c r="C517" s="209">
        <f t="shared" si="18"/>
        <v>37.023739999999997</v>
      </c>
      <c r="D517" s="542" t="s">
        <v>2732</v>
      </c>
      <c r="E517" s="542" t="s">
        <v>2770</v>
      </c>
      <c r="F517" s="542" t="s">
        <v>2732</v>
      </c>
      <c r="G517" s="542" t="s">
        <v>2801</v>
      </c>
      <c r="H517" s="426">
        <v>935.28096000000005</v>
      </c>
      <c r="I517" s="425">
        <v>37.023739999999997</v>
      </c>
      <c r="J517" s="425">
        <v>107.71</v>
      </c>
      <c r="K517" s="425">
        <v>10514.85082</v>
      </c>
      <c r="L517" s="542" t="s">
        <v>620</v>
      </c>
      <c r="M517" s="430" t="s">
        <v>700</v>
      </c>
      <c r="N517" s="206">
        <v>610.86608000000001</v>
      </c>
      <c r="O517" s="546"/>
      <c r="R517" s="206"/>
    </row>
    <row r="518" spans="1:18" ht="15">
      <c r="A518" s="424">
        <v>308627</v>
      </c>
      <c r="B518" t="str">
        <f t="shared" si="19"/>
        <v>SEVROLL spojovacia lišta H30 3m RAL9003 lesk</v>
      </c>
      <c r="C518" s="209">
        <f t="shared" si="18"/>
        <v>30.563870000000001</v>
      </c>
      <c r="D518" s="542" t="s">
        <v>3253</v>
      </c>
      <c r="E518" s="542" t="s">
        <v>2528</v>
      </c>
      <c r="F518" s="542" t="s">
        <v>3254</v>
      </c>
      <c r="G518" s="542" t="s">
        <v>2529</v>
      </c>
      <c r="H518" s="426">
        <v>894.58176000000003</v>
      </c>
      <c r="I518" s="425">
        <v>30.563870000000001</v>
      </c>
      <c r="J518" s="425">
        <v>105.72</v>
      </c>
      <c r="K518" s="425">
        <v>10135.86464</v>
      </c>
      <c r="L518" s="542" t="s">
        <v>622</v>
      </c>
      <c r="M518" s="423" t="s">
        <v>699</v>
      </c>
      <c r="N518" s="206">
        <v>616.06190000000004</v>
      </c>
      <c r="O518" s="546"/>
      <c r="R518" s="206"/>
    </row>
    <row r="519" spans="1:18" ht="15">
      <c r="A519" s="429">
        <v>279096</v>
      </c>
      <c r="B519" t="str">
        <f t="shared" si="19"/>
        <v>SEVROLL krycí profil Galaxy 6m</v>
      </c>
      <c r="C519" s="209">
        <f t="shared" si="18"/>
        <v>38.012009999999997</v>
      </c>
      <c r="D519" s="542" t="s">
        <v>3550</v>
      </c>
      <c r="E519" s="542" t="s">
        <v>2745</v>
      </c>
      <c r="F519" s="542" t="s">
        <v>3550</v>
      </c>
      <c r="G519" s="542" t="s">
        <v>2804</v>
      </c>
      <c r="H519" s="426">
        <v>951.77747999999997</v>
      </c>
      <c r="I519" s="425">
        <v>38.012009999999997</v>
      </c>
      <c r="J519" s="425">
        <v>115.39</v>
      </c>
      <c r="K519" s="425">
        <v>10700.31215</v>
      </c>
      <c r="L519" s="542" t="s">
        <v>622</v>
      </c>
      <c r="M519" s="430" t="s">
        <v>699</v>
      </c>
      <c r="N519" s="206">
        <v>616.54561999999999</v>
      </c>
      <c r="O519" s="546"/>
      <c r="R519" s="206"/>
    </row>
    <row r="520" spans="1:18" ht="15">
      <c r="A520" s="424">
        <v>180325</v>
      </c>
      <c r="B520" t="str">
        <f t="shared" si="19"/>
        <v>SEVROLL-SPODNÉ VED. MAXIM II 4,3M STR.</v>
      </c>
      <c r="C520" s="209">
        <f t="shared" si="18"/>
        <v>29.720230000000001</v>
      </c>
      <c r="D520" s="542" t="s">
        <v>4379</v>
      </c>
      <c r="E520" s="542" t="s">
        <v>2191</v>
      </c>
      <c r="F520" s="542" t="s">
        <v>706</v>
      </c>
      <c r="G520" s="542" t="s">
        <v>2192</v>
      </c>
      <c r="H520" s="426">
        <v>856.15103999999997</v>
      </c>
      <c r="I520" s="425">
        <v>29.720230000000001</v>
      </c>
      <c r="J520" s="425">
        <v>101.17</v>
      </c>
      <c r="K520" s="425">
        <v>9700.4336899999998</v>
      </c>
      <c r="L520" s="542" t="s">
        <v>621</v>
      </c>
      <c r="M520" s="423" t="s">
        <v>699</v>
      </c>
      <c r="N520" s="206">
        <v>618.67510000000004</v>
      </c>
      <c r="O520" s="546"/>
      <c r="R520" s="206"/>
    </row>
    <row r="521" spans="1:18" ht="15">
      <c r="A521" s="429">
        <v>354300</v>
      </c>
      <c r="B521" t="str">
        <f t="shared" si="19"/>
        <v/>
      </c>
      <c r="C521" s="209" t="e">
        <f t="shared" si="18"/>
        <v>#N/A</v>
      </c>
      <c r="D521" s="542" t="s">
        <v>2730</v>
      </c>
      <c r="E521" s="542" t="s">
        <v>2748</v>
      </c>
      <c r="F521" s="542" t="s">
        <v>84</v>
      </c>
      <c r="G521" s="542" t="s">
        <v>84</v>
      </c>
      <c r="H521" s="426">
        <v>0</v>
      </c>
      <c r="I521" s="425" t="e">
        <v>#N/A</v>
      </c>
      <c r="J521" s="425">
        <v>0</v>
      </c>
      <c r="K521" s="425">
        <v>0</v>
      </c>
      <c r="L521" s="542" t="s">
        <v>622</v>
      </c>
      <c r="M521" s="430" t="s">
        <v>699</v>
      </c>
      <c r="N521" s="206">
        <v>619.70092</v>
      </c>
      <c r="O521" s="546"/>
      <c r="R521" s="206"/>
    </row>
    <row r="522" spans="1:18" ht="15">
      <c r="A522" s="424">
        <v>284521</v>
      </c>
      <c r="B522" t="str">
        <f t="shared" si="19"/>
        <v>SEVROLL Pax úchytová lišta 2,7m RAL9003 lesk</v>
      </c>
      <c r="C522" s="209">
        <f t="shared" si="18"/>
        <v>30.732600000000001</v>
      </c>
      <c r="D522" s="542" t="s">
        <v>3405</v>
      </c>
      <c r="E522" s="542" t="s">
        <v>2295</v>
      </c>
      <c r="F522" s="542" t="s">
        <v>3406</v>
      </c>
      <c r="G522" s="542" t="s">
        <v>2296</v>
      </c>
      <c r="H522" s="426">
        <v>900.98688000000004</v>
      </c>
      <c r="I522" s="425">
        <v>30.732600000000001</v>
      </c>
      <c r="J522" s="425">
        <v>106.47</v>
      </c>
      <c r="K522" s="425">
        <v>10208.436460000001</v>
      </c>
      <c r="L522" s="542" t="s">
        <v>622</v>
      </c>
      <c r="M522" s="423" t="s">
        <v>699</v>
      </c>
      <c r="N522" s="206">
        <v>619.98170000000005</v>
      </c>
      <c r="O522" s="546"/>
      <c r="R522" s="206"/>
    </row>
    <row r="523" spans="1:18" ht="15">
      <c r="A523" s="424">
        <v>100103</v>
      </c>
      <c r="B523" t="str">
        <f t="shared" si="19"/>
        <v>SEVROLL Master úchytová lišta 2,7m oliva</v>
      </c>
      <c r="C523" s="209">
        <f t="shared" si="18"/>
        <v>29.69613</v>
      </c>
      <c r="D523" s="542" t="s">
        <v>3504</v>
      </c>
      <c r="E523" s="542" t="s">
        <v>2144</v>
      </c>
      <c r="F523" s="542" t="s">
        <v>3504</v>
      </c>
      <c r="G523" s="542" t="s">
        <v>2145</v>
      </c>
      <c r="H523" s="426">
        <v>903.12192000000005</v>
      </c>
      <c r="I523" s="425">
        <v>29.69613</v>
      </c>
      <c r="J523" s="425">
        <v>106.73</v>
      </c>
      <c r="K523" s="425">
        <v>10232.62708</v>
      </c>
      <c r="L523" s="542" t="s">
        <v>622</v>
      </c>
      <c r="M523" s="423" t="s">
        <v>699</v>
      </c>
      <c r="N523" s="206">
        <v>621.28830000000005</v>
      </c>
      <c r="O523" s="546"/>
      <c r="R523" s="206"/>
    </row>
    <row r="524" spans="1:18" ht="15">
      <c r="A524" s="424">
        <v>224122</v>
      </c>
      <c r="B524" t="str">
        <f t="shared" si="19"/>
        <v>SEVROLL horné vedenie Simple 4m oliva</v>
      </c>
      <c r="C524" s="209">
        <f t="shared" si="18"/>
        <v>40.299790000000002</v>
      </c>
      <c r="D524" s="542" t="s">
        <v>3342</v>
      </c>
      <c r="E524" s="542" t="s">
        <v>2384</v>
      </c>
      <c r="F524" s="542" t="s">
        <v>3343</v>
      </c>
      <c r="G524" s="542" t="s">
        <v>2385</v>
      </c>
      <c r="H524" s="426">
        <v>870.69600000000003</v>
      </c>
      <c r="I524" s="425">
        <v>40.299790000000002</v>
      </c>
      <c r="J524" s="425">
        <v>106.7</v>
      </c>
      <c r="K524" s="425">
        <v>9353.7016700000004</v>
      </c>
      <c r="L524" s="542" t="s">
        <v>622</v>
      </c>
      <c r="M524" s="423" t="s">
        <v>699</v>
      </c>
      <c r="N524" s="206">
        <v>624.49919999999997</v>
      </c>
      <c r="O524" s="546"/>
      <c r="R524" s="206"/>
    </row>
    <row r="525" spans="1:18" ht="15">
      <c r="A525" s="424">
        <v>98110</v>
      </c>
      <c r="B525" t="str">
        <f t="shared" si="19"/>
        <v>SEVROLL-HOR. VEDENIE COMFORT 1,70 M STR.</v>
      </c>
      <c r="C525" s="209">
        <f t="shared" si="18"/>
        <v>32.275260000000003</v>
      </c>
      <c r="D525" s="542" t="s">
        <v>3884</v>
      </c>
      <c r="E525" s="542" t="s">
        <v>1118</v>
      </c>
      <c r="F525" s="542" t="s">
        <v>660</v>
      </c>
      <c r="G525" s="542" t="s">
        <v>1649</v>
      </c>
      <c r="H525" s="426">
        <v>866.11455999999998</v>
      </c>
      <c r="I525" s="425">
        <v>32.275260000000003</v>
      </c>
      <c r="J525" s="425">
        <v>111</v>
      </c>
      <c r="K525" s="425">
        <v>9813.3232100000005</v>
      </c>
      <c r="L525" s="542" t="s">
        <v>622</v>
      </c>
      <c r="M525" s="423" t="s">
        <v>699</v>
      </c>
      <c r="N525" s="206">
        <v>625.20809999999994</v>
      </c>
      <c r="O525" s="546"/>
      <c r="R525" s="206"/>
    </row>
    <row r="526" spans="1:18" ht="15">
      <c r="A526" s="424">
        <v>159409</v>
      </c>
      <c r="B526" t="str">
        <f t="shared" si="19"/>
        <v>SEVROLL Gemini spodné vedenie 6m strieborná</v>
      </c>
      <c r="C526" s="209">
        <f t="shared" si="18"/>
        <v>32.61271</v>
      </c>
      <c r="D526" s="542" t="s">
        <v>4514</v>
      </c>
      <c r="E526" s="542" t="s">
        <v>4515</v>
      </c>
      <c r="F526" s="542" t="s">
        <v>4516</v>
      </c>
      <c r="G526" s="542" t="s">
        <v>1973</v>
      </c>
      <c r="H526" s="426">
        <v>875.3664</v>
      </c>
      <c r="I526" s="425">
        <v>32.61271</v>
      </c>
      <c r="J526" s="425">
        <v>107.89</v>
      </c>
      <c r="K526" s="425">
        <v>9918.1491800000003</v>
      </c>
      <c r="L526" s="542" t="s">
        <v>621</v>
      </c>
      <c r="M526" s="423" t="s">
        <v>699</v>
      </c>
      <c r="N526" s="206">
        <v>632.39440000000002</v>
      </c>
      <c r="O526" s="546"/>
      <c r="R526" s="206"/>
    </row>
    <row r="527" spans="1:18" ht="15">
      <c r="A527" s="424">
        <v>89034</v>
      </c>
      <c r="B527" t="str">
        <f t="shared" si="19"/>
        <v>SEVROLL Single horné vedenie 3m oliva</v>
      </c>
      <c r="C527" s="209">
        <f t="shared" si="18"/>
        <v>32.034219999999998</v>
      </c>
      <c r="D527" s="542" t="s">
        <v>3318</v>
      </c>
      <c r="E527" s="542" t="s">
        <v>887</v>
      </c>
      <c r="F527" s="542" t="s">
        <v>3319</v>
      </c>
      <c r="G527" s="542" t="s">
        <v>2419</v>
      </c>
      <c r="H527" s="426">
        <v>922.33727999999996</v>
      </c>
      <c r="I527" s="425">
        <v>32.034219999999998</v>
      </c>
      <c r="J527" s="425">
        <v>109</v>
      </c>
      <c r="K527" s="425">
        <v>10450.34254</v>
      </c>
      <c r="L527" s="542" t="s">
        <v>622</v>
      </c>
      <c r="M527" s="423" t="s">
        <v>699</v>
      </c>
      <c r="N527" s="206">
        <v>634.35429999999997</v>
      </c>
      <c r="O527" s="546"/>
      <c r="R527" s="206"/>
    </row>
    <row r="528" spans="1:18" ht="15">
      <c r="A528" s="427">
        <v>248421</v>
      </c>
      <c r="B528" t="str">
        <f t="shared" si="19"/>
        <v>AST-Prestige profil H10 4m CE802TX</v>
      </c>
      <c r="C528" s="209" t="e">
        <f t="shared" si="18"/>
        <v>#N/A</v>
      </c>
      <c r="D528" s="542" t="s">
        <v>1343</v>
      </c>
      <c r="E528" s="542" t="s">
        <v>1343</v>
      </c>
      <c r="F528" s="542" t="s">
        <v>1343</v>
      </c>
      <c r="G528" s="542" t="s">
        <v>1343</v>
      </c>
      <c r="H528" s="426">
        <v>697.05719999999997</v>
      </c>
      <c r="I528" s="425" t="e">
        <v>#N/A</v>
      </c>
      <c r="J528" s="425">
        <v>104.47212</v>
      </c>
      <c r="K528" s="425">
        <v>8389.6155400000007</v>
      </c>
      <c r="L528" s="542" t="s">
        <v>622</v>
      </c>
      <c r="M528" s="428" t="s">
        <v>699</v>
      </c>
      <c r="N528" s="206">
        <v>636.20299999999997</v>
      </c>
      <c r="O528" s="546"/>
      <c r="R528" s="206"/>
    </row>
    <row r="529" spans="1:18" ht="15">
      <c r="A529" s="424">
        <v>102836</v>
      </c>
      <c r="B529" t="str">
        <f t="shared" si="19"/>
        <v>SEVROLL Maxim horné vedenie 2,5m str.</v>
      </c>
      <c r="C529" s="209">
        <f t="shared" si="18"/>
        <v>30.756699999999999</v>
      </c>
      <c r="D529" s="542" t="s">
        <v>4395</v>
      </c>
      <c r="E529" s="542" t="s">
        <v>2160</v>
      </c>
      <c r="F529" s="542" t="s">
        <v>4396</v>
      </c>
      <c r="G529" s="542" t="s">
        <v>2161</v>
      </c>
      <c r="H529" s="426">
        <v>886.04160000000002</v>
      </c>
      <c r="I529" s="425">
        <v>30.756699999999999</v>
      </c>
      <c r="J529" s="425">
        <v>104.71</v>
      </c>
      <c r="K529" s="425">
        <v>10039.102209999999</v>
      </c>
      <c r="L529" s="542" t="s">
        <v>621</v>
      </c>
      <c r="M529" s="423" t="s">
        <v>699</v>
      </c>
      <c r="N529" s="206">
        <v>640.23400000000004</v>
      </c>
      <c r="O529" s="546"/>
      <c r="R529" s="206"/>
    </row>
    <row r="530" spans="1:18" ht="15">
      <c r="A530" s="429">
        <v>84170</v>
      </c>
      <c r="B530" t="str">
        <f t="shared" si="19"/>
        <v>SEV-Herkules 2 horné vedenie 2,4m alu</v>
      </c>
      <c r="C530" s="209">
        <f t="shared" si="18"/>
        <v>41.965060000000001</v>
      </c>
      <c r="D530" s="542" t="s">
        <v>2733</v>
      </c>
      <c r="E530" s="542" t="s">
        <v>2771</v>
      </c>
      <c r="F530" s="542" t="s">
        <v>2870</v>
      </c>
      <c r="G530" s="542" t="s">
        <v>2853</v>
      </c>
      <c r="H530" s="426">
        <v>1022.78424</v>
      </c>
      <c r="I530" s="425">
        <v>41.965060000000001</v>
      </c>
      <c r="J530" s="425">
        <v>119.85</v>
      </c>
      <c r="K530" s="425">
        <v>11498.602209999999</v>
      </c>
      <c r="L530" s="542" t="s">
        <v>620</v>
      </c>
      <c r="M530" s="430" t="s">
        <v>699</v>
      </c>
      <c r="N530" s="206">
        <v>641.15696000000003</v>
      </c>
      <c r="O530" s="546"/>
      <c r="R530" s="206"/>
    </row>
    <row r="531" spans="1:18" ht="15">
      <c r="A531" s="429">
        <v>134488</v>
      </c>
      <c r="B531" t="str">
        <f t="shared" si="19"/>
        <v>SEVROLL-horné vedenie URSUS 3 M SUROVÁ</v>
      </c>
      <c r="C531" s="209">
        <f t="shared" si="18"/>
        <v>37.746859999999998</v>
      </c>
      <c r="D531" s="542" t="s">
        <v>3179</v>
      </c>
      <c r="E531" s="542" t="s">
        <v>1304</v>
      </c>
      <c r="F531" s="542" t="s">
        <v>1303</v>
      </c>
      <c r="G531" s="542" t="s">
        <v>2798</v>
      </c>
      <c r="H531" s="426">
        <v>974.72915999999998</v>
      </c>
      <c r="I531" s="425">
        <v>37.746859999999998</v>
      </c>
      <c r="J531" s="425">
        <v>118.4</v>
      </c>
      <c r="K531" s="425">
        <v>10958.345310000001</v>
      </c>
      <c r="L531" s="542" t="s">
        <v>622</v>
      </c>
      <c r="M531" s="430" t="s">
        <v>699</v>
      </c>
      <c r="N531" s="206">
        <v>642.41908000000001</v>
      </c>
      <c r="O531" s="546"/>
      <c r="R531" s="206"/>
    </row>
    <row r="532" spans="1:18" ht="15">
      <c r="A532" s="424">
        <v>349804</v>
      </c>
      <c r="B532" t="str">
        <f t="shared" si="19"/>
        <v>SEVROLL Blue horné vedenie 4m strieborná</v>
      </c>
      <c r="C532" s="209">
        <f t="shared" si="18"/>
        <v>38.392429999999997</v>
      </c>
      <c r="D532" s="542" t="s">
        <v>4072</v>
      </c>
      <c r="E532" s="542" t="s">
        <v>1594</v>
      </c>
      <c r="F532" s="542" t="s">
        <v>4073</v>
      </c>
      <c r="G532" s="542" t="s">
        <v>84</v>
      </c>
      <c r="H532" s="426">
        <v>855.68399999999997</v>
      </c>
      <c r="I532" s="425">
        <v>38.392429999999997</v>
      </c>
      <c r="J532" s="425">
        <v>95.88</v>
      </c>
      <c r="K532" s="425">
        <v>9192.4309499999999</v>
      </c>
      <c r="L532" s="542" t="s">
        <v>1025</v>
      </c>
      <c r="M532" s="423" t="s">
        <v>699</v>
      </c>
      <c r="N532" s="206">
        <v>644.01480000000004</v>
      </c>
      <c r="O532" s="546"/>
      <c r="R532" s="206"/>
    </row>
    <row r="533" spans="1:18" ht="15">
      <c r="A533" s="424">
        <v>197748</v>
      </c>
      <c r="B533" t="str">
        <f t="shared" si="19"/>
        <v>SEVROLL Optima horné vedenie 2,4m strieborná</v>
      </c>
      <c r="C533" s="209">
        <f t="shared" si="18"/>
        <v>32.516300000000001</v>
      </c>
      <c r="D533" s="542" t="s">
        <v>3426</v>
      </c>
      <c r="E533" s="542" t="s">
        <v>920</v>
      </c>
      <c r="F533" s="542" t="s">
        <v>3427</v>
      </c>
      <c r="G533" s="542" t="s">
        <v>2273</v>
      </c>
      <c r="H533" s="426">
        <v>936.57087999999999</v>
      </c>
      <c r="I533" s="425">
        <v>32.516300000000001</v>
      </c>
      <c r="J533" s="425">
        <v>110.68</v>
      </c>
      <c r="K533" s="425">
        <v>10611.61326</v>
      </c>
      <c r="L533" s="542" t="s">
        <v>622</v>
      </c>
      <c r="M533" s="423" t="s">
        <v>699</v>
      </c>
      <c r="N533" s="206">
        <v>644.15380000000005</v>
      </c>
      <c r="O533" s="546"/>
      <c r="R533" s="206"/>
    </row>
    <row r="534" spans="1:18" ht="15">
      <c r="A534" s="424">
        <v>179230</v>
      </c>
      <c r="B534" t="str">
        <f t="shared" si="19"/>
        <v>SEVROLL Future II úchytová lišta 2,7m oliva</v>
      </c>
      <c r="C534" s="209">
        <f t="shared" si="18"/>
        <v>35.023110000000003</v>
      </c>
      <c r="D534" s="542" t="s">
        <v>3713</v>
      </c>
      <c r="E534" s="542" t="s">
        <v>1381</v>
      </c>
      <c r="F534" s="542" t="s">
        <v>3713</v>
      </c>
      <c r="G534" s="542" t="s">
        <v>1884</v>
      </c>
      <c r="H534" s="426">
        <v>940.12927999999999</v>
      </c>
      <c r="I534" s="425">
        <v>35.023110000000003</v>
      </c>
      <c r="J534" s="425">
        <v>134.53</v>
      </c>
      <c r="K534" s="425">
        <v>10651.93095</v>
      </c>
      <c r="L534" s="542" t="s">
        <v>622</v>
      </c>
      <c r="M534" s="423" t="s">
        <v>699</v>
      </c>
      <c r="N534" s="206">
        <v>646.76700000000005</v>
      </c>
      <c r="O534" s="546"/>
      <c r="R534" s="206"/>
    </row>
    <row r="535" spans="1:18" ht="15">
      <c r="A535" s="424">
        <v>89115</v>
      </c>
      <c r="B535" t="str">
        <f t="shared" si="19"/>
        <v>SEVROLL Gemini horné vedenie 4,05m striebor</v>
      </c>
      <c r="C535" s="209">
        <f t="shared" si="18"/>
        <v>38.204839999999997</v>
      </c>
      <c r="D535" s="542" t="s">
        <v>4041</v>
      </c>
      <c r="E535" s="542" t="s">
        <v>1944</v>
      </c>
      <c r="F535" s="542" t="s">
        <v>4042</v>
      </c>
      <c r="G535" s="542" t="s">
        <v>1945</v>
      </c>
      <c r="H535" s="426">
        <v>980.69503999999995</v>
      </c>
      <c r="I535" s="425">
        <v>38.204839999999997</v>
      </c>
      <c r="J535" s="425">
        <v>127.11</v>
      </c>
      <c r="K535" s="425">
        <v>11111.55249</v>
      </c>
      <c r="L535" s="542" t="s">
        <v>1025</v>
      </c>
      <c r="M535" s="423" t="s">
        <v>699</v>
      </c>
      <c r="N535" s="206">
        <v>649.38019999999995</v>
      </c>
      <c r="O535" s="546"/>
      <c r="R535" s="206"/>
    </row>
    <row r="536" spans="1:18" ht="15">
      <c r="A536" s="429">
        <v>96480</v>
      </c>
      <c r="B536" t="str">
        <f t="shared" si="19"/>
        <v>SEVROLL Exclusive horné vedenie 3m strieborn</v>
      </c>
      <c r="C536" s="209">
        <f t="shared" si="18"/>
        <v>34.131259999999997</v>
      </c>
      <c r="D536" s="542" t="s">
        <v>3787</v>
      </c>
      <c r="E536" s="542" t="s">
        <v>1072</v>
      </c>
      <c r="F536" s="542" t="s">
        <v>3788</v>
      </c>
      <c r="G536" s="542" t="s">
        <v>2842</v>
      </c>
      <c r="H536" s="426">
        <v>990.50843999999995</v>
      </c>
      <c r="I536" s="425">
        <v>34.131259999999997</v>
      </c>
      <c r="J536" s="425">
        <v>115.87</v>
      </c>
      <c r="K536" s="425">
        <v>11135.7431</v>
      </c>
      <c r="L536" s="542" t="s">
        <v>622</v>
      </c>
      <c r="M536" s="430" t="s">
        <v>699</v>
      </c>
      <c r="N536" s="206">
        <v>652.51603999999998</v>
      </c>
      <c r="O536" s="546"/>
      <c r="R536" s="206"/>
    </row>
    <row r="537" spans="1:18" ht="15">
      <c r="A537" s="424">
        <v>283904</v>
      </c>
      <c r="B537" t="str">
        <f t="shared" si="19"/>
        <v>SEVROLL Pax výstuha 3m strieb</v>
      </c>
      <c r="C537" s="209">
        <f t="shared" si="18"/>
        <v>31.98601</v>
      </c>
      <c r="D537" s="542" t="s">
        <v>4314</v>
      </c>
      <c r="E537" s="542" t="s">
        <v>1444</v>
      </c>
      <c r="F537" s="542" t="s">
        <v>4315</v>
      </c>
      <c r="G537" s="542" t="s">
        <v>2302</v>
      </c>
      <c r="H537" s="426">
        <v>904.54528000000005</v>
      </c>
      <c r="I537" s="425">
        <v>31.98601</v>
      </c>
      <c r="J537" s="425">
        <v>106.89</v>
      </c>
      <c r="K537" s="425">
        <v>10248.754150000001</v>
      </c>
      <c r="L537" s="542" t="s">
        <v>621</v>
      </c>
      <c r="M537" s="423" t="s">
        <v>699</v>
      </c>
      <c r="N537" s="206">
        <v>653.29999999999995</v>
      </c>
      <c r="O537" s="546"/>
      <c r="R537" s="206"/>
    </row>
    <row r="538" spans="1:18" ht="15">
      <c r="A538" s="424">
        <v>98111</v>
      </c>
      <c r="B538" t="str">
        <f t="shared" si="19"/>
        <v>SEVROLL Comfort horné vedenie 1,7m oliva</v>
      </c>
      <c r="C538" s="209">
        <f t="shared" si="18"/>
        <v>35.40878</v>
      </c>
      <c r="D538" s="542" t="s">
        <v>3885</v>
      </c>
      <c r="E538" s="542" t="s">
        <v>1360</v>
      </c>
      <c r="F538" s="542" t="s">
        <v>3886</v>
      </c>
      <c r="G538" s="542" t="s">
        <v>1648</v>
      </c>
      <c r="H538" s="426">
        <v>950.09280000000001</v>
      </c>
      <c r="I538" s="425">
        <v>35.40878</v>
      </c>
      <c r="J538" s="425">
        <v>122.11</v>
      </c>
      <c r="K538" s="425">
        <v>10764.82044</v>
      </c>
      <c r="L538" s="542" t="s">
        <v>622</v>
      </c>
      <c r="M538" s="423" t="s">
        <v>699</v>
      </c>
      <c r="N538" s="206">
        <v>653.95330000000001</v>
      </c>
      <c r="O538" s="546"/>
      <c r="R538" s="206"/>
    </row>
    <row r="539" spans="1:18" ht="15">
      <c r="A539" s="424">
        <v>212543</v>
      </c>
      <c r="B539" t="e">
        <f>IF($A$2=1,D539,IF($A$2=2,#REF!,IF($A$2=3,G539,IF($A$2=4,E539,"zadat jazyk"))))</f>
        <v>#REF!</v>
      </c>
      <c r="C539" s="209">
        <f t="shared" si="18"/>
        <v>31.238779999999998</v>
      </c>
      <c r="D539" s="542" t="s">
        <v>3250</v>
      </c>
      <c r="E539" s="542" t="s">
        <v>2544</v>
      </c>
      <c r="F539" s="542" t="s">
        <v>3250</v>
      </c>
      <c r="G539" s="542" t="s">
        <v>2545</v>
      </c>
      <c r="H539" s="426">
        <v>950.09280000000001</v>
      </c>
      <c r="I539" s="425">
        <v>31.238779999999998</v>
      </c>
      <c r="J539" s="425">
        <v>112.28</v>
      </c>
      <c r="K539" s="425">
        <v>10764.82044</v>
      </c>
      <c r="L539" s="542" t="s">
        <v>622</v>
      </c>
      <c r="M539" s="423" t="s">
        <v>699</v>
      </c>
      <c r="N539" s="206">
        <v>653.95330000000001</v>
      </c>
      <c r="O539" s="546"/>
      <c r="R539" s="206"/>
    </row>
    <row r="540" spans="1:18" ht="15">
      <c r="A540" s="424">
        <v>102824</v>
      </c>
      <c r="B540" t="str">
        <f t="shared" ref="B540:B603" si="20">IF($A$2=1,D540,IF($A$2=2,F540,IF($A$2=3,G540,IF($A$2=4,E540,"zadat jazyk"))))</f>
        <v>SEVROLL-MAXIM VOD.LIŠTA 3,5 M STRIEBORNA</v>
      </c>
      <c r="C540" s="209">
        <f t="shared" si="18"/>
        <v>31.431619999999999</v>
      </c>
      <c r="D540" s="542" t="s">
        <v>4359</v>
      </c>
      <c r="E540" s="542" t="s">
        <v>2233</v>
      </c>
      <c r="F540" s="542" t="s">
        <v>665</v>
      </c>
      <c r="G540" s="542" t="s">
        <v>2234</v>
      </c>
      <c r="H540" s="426">
        <v>905.96864000000005</v>
      </c>
      <c r="I540" s="425">
        <v>31.431619999999999</v>
      </c>
      <c r="J540" s="425">
        <v>107.06</v>
      </c>
      <c r="K540" s="425">
        <v>10264.88121</v>
      </c>
      <c r="L540" s="542" t="s">
        <v>621</v>
      </c>
      <c r="M540" s="423" t="s">
        <v>699</v>
      </c>
      <c r="N540" s="206">
        <v>654.60659999999996</v>
      </c>
      <c r="O540" s="546"/>
      <c r="R540" s="206"/>
    </row>
    <row r="541" spans="1:18" ht="15">
      <c r="A541" s="424">
        <v>100105</v>
      </c>
      <c r="B541" t="str">
        <f t="shared" si="20"/>
        <v>SEVROLL Master úch.lišta 3m strieborná</v>
      </c>
      <c r="C541" s="209">
        <f t="shared" si="18"/>
        <v>30.17821</v>
      </c>
      <c r="D541" s="542" t="s">
        <v>4399</v>
      </c>
      <c r="E541" s="542" t="s">
        <v>2150</v>
      </c>
      <c r="F541" s="542" t="s">
        <v>4400</v>
      </c>
      <c r="G541" s="542" t="s">
        <v>2151</v>
      </c>
      <c r="H541" s="426">
        <v>918.06719999999996</v>
      </c>
      <c r="I541" s="425">
        <v>30.17821</v>
      </c>
      <c r="J541" s="425">
        <v>108.49</v>
      </c>
      <c r="K541" s="425">
        <v>10401.96133</v>
      </c>
      <c r="L541" s="542" t="s">
        <v>621</v>
      </c>
      <c r="M541" s="423" t="s">
        <v>699</v>
      </c>
      <c r="N541" s="206">
        <v>663.09950000000003</v>
      </c>
      <c r="O541" s="546"/>
      <c r="R541" s="206"/>
    </row>
    <row r="542" spans="1:18" ht="15">
      <c r="A542" s="424">
        <v>363019</v>
      </c>
      <c r="B542" t="str">
        <f t="shared" si="20"/>
        <v/>
      </c>
      <c r="C542" s="209">
        <f t="shared" si="18"/>
        <v>34.372300000000003</v>
      </c>
      <c r="D542" s="542" t="s">
        <v>3151</v>
      </c>
      <c r="E542" s="542" t="s">
        <v>84</v>
      </c>
      <c r="F542" s="542" t="s">
        <v>84</v>
      </c>
      <c r="G542" s="542" t="s">
        <v>84</v>
      </c>
      <c r="H542" s="426">
        <v>922.33727999999996</v>
      </c>
      <c r="I542" s="425">
        <v>34.372300000000003</v>
      </c>
      <c r="J542" s="425">
        <v>137.88</v>
      </c>
      <c r="K542" s="425">
        <v>10450.34254</v>
      </c>
      <c r="L542" s="542" t="s">
        <v>622</v>
      </c>
      <c r="M542" s="423" t="s">
        <v>699</v>
      </c>
      <c r="N542" s="206">
        <v>666.36599999999999</v>
      </c>
      <c r="O542" s="546"/>
      <c r="R542" s="206"/>
    </row>
    <row r="543" spans="1:18" ht="15">
      <c r="A543" s="424">
        <v>318447</v>
      </c>
      <c r="B543" t="str">
        <f t="shared" si="20"/>
        <v/>
      </c>
      <c r="C543" s="209">
        <f t="shared" si="18"/>
        <v>30.612079999999999</v>
      </c>
      <c r="D543" s="542" t="s">
        <v>3837</v>
      </c>
      <c r="E543" s="542" t="s">
        <v>1713</v>
      </c>
      <c r="F543" s="542" t="s">
        <v>84</v>
      </c>
      <c r="G543" s="542" t="s">
        <v>84</v>
      </c>
      <c r="H543" s="426">
        <v>881.77152000000001</v>
      </c>
      <c r="I543" s="425">
        <v>30.612079999999999</v>
      </c>
      <c r="J543" s="425">
        <v>104.2</v>
      </c>
      <c r="K543" s="425">
        <v>9990.7209999999995</v>
      </c>
      <c r="L543" s="542" t="s">
        <v>622</v>
      </c>
      <c r="M543" s="423" t="s">
        <v>703</v>
      </c>
      <c r="N543" s="206">
        <v>667.01930000000004</v>
      </c>
      <c r="O543" s="546"/>
      <c r="R543" s="206"/>
    </row>
    <row r="544" spans="1:18" ht="15">
      <c r="A544" s="424">
        <v>197749</v>
      </c>
      <c r="B544" t="str">
        <f t="shared" si="20"/>
        <v>SEVROLL-SADA KOV.OPTIMA II (DVOJE DVERE)</v>
      </c>
      <c r="C544" s="209">
        <f t="shared" si="18"/>
        <v>29.913060000000002</v>
      </c>
      <c r="D544" s="542" t="s">
        <v>3421</v>
      </c>
      <c r="E544" s="542" t="s">
        <v>2276</v>
      </c>
      <c r="F544" s="542" t="s">
        <v>2278</v>
      </c>
      <c r="G544" s="542" t="s">
        <v>2277</v>
      </c>
      <c r="H544" s="426">
        <v>890.31168000000002</v>
      </c>
      <c r="I544" s="425">
        <v>29.913060000000002</v>
      </c>
      <c r="J544" s="425">
        <v>105.21</v>
      </c>
      <c r="K544" s="425">
        <v>10087.48343</v>
      </c>
      <c r="L544" s="542" t="s">
        <v>622</v>
      </c>
      <c r="M544" s="423" t="s">
        <v>700</v>
      </c>
      <c r="N544" s="206">
        <v>671.5924</v>
      </c>
      <c r="O544" s="546"/>
      <c r="R544" s="206"/>
    </row>
    <row r="545" spans="1:18" ht="15">
      <c r="A545" s="424">
        <v>284525</v>
      </c>
      <c r="B545" t="str">
        <f t="shared" si="20"/>
        <v>SEVROLL Pax horná vod.lišta 3m RAL9003 lesk</v>
      </c>
      <c r="C545" s="209">
        <f t="shared" si="18"/>
        <v>33.57687</v>
      </c>
      <c r="D545" s="542" t="s">
        <v>3410</v>
      </c>
      <c r="E545" s="542" t="s">
        <v>2284</v>
      </c>
      <c r="F545" s="542" t="s">
        <v>3411</v>
      </c>
      <c r="G545" s="542" t="s">
        <v>2285</v>
      </c>
      <c r="H545" s="426">
        <v>984.25343999999996</v>
      </c>
      <c r="I545" s="425">
        <v>33.57687</v>
      </c>
      <c r="J545" s="425">
        <v>116.31</v>
      </c>
      <c r="K545" s="425">
        <v>11151.87018</v>
      </c>
      <c r="L545" s="542" t="s">
        <v>622</v>
      </c>
      <c r="M545" s="423" t="s">
        <v>699</v>
      </c>
      <c r="N545" s="206">
        <v>676.81880000000001</v>
      </c>
      <c r="O545" s="546"/>
      <c r="R545" s="206"/>
    </row>
    <row r="546" spans="1:18" ht="15">
      <c r="A546" s="424">
        <v>102828</v>
      </c>
      <c r="B546" t="str">
        <f t="shared" si="20"/>
        <v>SEVROLL Maxim spod.krycia lišta 2,5m strieborná</v>
      </c>
      <c r="C546" s="209">
        <f t="shared" si="18"/>
        <v>32.564500000000002</v>
      </c>
      <c r="D546" s="542" t="s">
        <v>4369</v>
      </c>
      <c r="E546" s="542" t="s">
        <v>1123</v>
      </c>
      <c r="F546" s="542" t="s">
        <v>4370</v>
      </c>
      <c r="G546" s="542" t="s">
        <v>2206</v>
      </c>
      <c r="H546" s="426">
        <v>937.99423999999999</v>
      </c>
      <c r="I546" s="425">
        <v>32.564500000000002</v>
      </c>
      <c r="J546" s="425">
        <v>110.85</v>
      </c>
      <c r="K546" s="425">
        <v>10627.740330000001</v>
      </c>
      <c r="L546" s="542" t="s">
        <v>621</v>
      </c>
      <c r="M546" s="423" t="s">
        <v>699</v>
      </c>
      <c r="N546" s="206">
        <v>677.47209999999995</v>
      </c>
      <c r="O546" s="546"/>
      <c r="R546" s="206"/>
    </row>
    <row r="547" spans="1:18" ht="15">
      <c r="A547" s="424">
        <v>238028</v>
      </c>
      <c r="B547" t="str">
        <f t="shared" si="20"/>
        <v>SEVROLL Maxim II spodné vedenie 4,3m oliva</v>
      </c>
      <c r="C547" s="209">
        <f t="shared" si="18"/>
        <v>34.227679999999999</v>
      </c>
      <c r="D547" s="542" t="s">
        <v>3478</v>
      </c>
      <c r="E547" s="542" t="s">
        <v>1409</v>
      </c>
      <c r="F547" s="542" t="s">
        <v>3479</v>
      </c>
      <c r="G547" s="542" t="s">
        <v>2190</v>
      </c>
      <c r="H547" s="426">
        <v>985.67679999999996</v>
      </c>
      <c r="I547" s="425">
        <v>34.227679999999999</v>
      </c>
      <c r="J547" s="425">
        <v>116.48</v>
      </c>
      <c r="K547" s="425">
        <v>11167.997230000001</v>
      </c>
      <c r="L547" s="542" t="s">
        <v>622</v>
      </c>
      <c r="M547" s="423" t="s">
        <v>699</v>
      </c>
      <c r="N547" s="206">
        <v>678.12540000000001</v>
      </c>
      <c r="O547" s="546"/>
      <c r="R547" s="206"/>
    </row>
    <row r="548" spans="1:18" ht="15">
      <c r="A548" s="424">
        <v>179229</v>
      </c>
      <c r="B548" t="str">
        <f t="shared" si="20"/>
        <v>SEVROLL Future II úch.lišta 2,7m strieborná</v>
      </c>
      <c r="C548" s="209">
        <f t="shared" si="18"/>
        <v>32.63682</v>
      </c>
      <c r="D548" s="542" t="s">
        <v>4574</v>
      </c>
      <c r="E548" s="542" t="s">
        <v>1092</v>
      </c>
      <c r="F548" s="542" t="s">
        <v>4575</v>
      </c>
      <c r="G548" s="542" t="s">
        <v>1380</v>
      </c>
      <c r="H548" s="426">
        <v>940.12927999999999</v>
      </c>
      <c r="I548" s="425">
        <v>32.63682</v>
      </c>
      <c r="J548" s="425">
        <v>122.31</v>
      </c>
      <c r="K548" s="425">
        <v>10651.93095</v>
      </c>
      <c r="L548" s="542" t="s">
        <v>621</v>
      </c>
      <c r="M548" s="423" t="s">
        <v>699</v>
      </c>
      <c r="N548" s="206">
        <v>679.43200000000002</v>
      </c>
      <c r="O548" s="546"/>
      <c r="R548" s="206"/>
    </row>
    <row r="549" spans="1:18" ht="15">
      <c r="A549" s="424">
        <v>334858</v>
      </c>
      <c r="B549" t="str">
        <f t="shared" si="20"/>
        <v/>
      </c>
      <c r="C549" s="209">
        <f t="shared" si="18"/>
        <v>38.49409</v>
      </c>
      <c r="D549" s="542" t="s">
        <v>3807</v>
      </c>
      <c r="E549" s="542" t="s">
        <v>1778</v>
      </c>
      <c r="F549" s="542" t="s">
        <v>84</v>
      </c>
      <c r="G549" s="542" t="s">
        <v>1779</v>
      </c>
      <c r="H549" s="426">
        <v>1033.3593599999999</v>
      </c>
      <c r="I549" s="425">
        <v>38.49409</v>
      </c>
      <c r="J549" s="425">
        <v>141.31</v>
      </c>
      <c r="K549" s="425">
        <v>11708.254150000001</v>
      </c>
      <c r="L549" s="542" t="s">
        <v>622</v>
      </c>
      <c r="M549" s="423" t="s">
        <v>699</v>
      </c>
      <c r="N549" s="206">
        <v>680.73860000000002</v>
      </c>
      <c r="O549" s="546"/>
      <c r="R549" s="206"/>
    </row>
    <row r="550" spans="1:18" ht="15">
      <c r="A550" s="424">
        <v>284523</v>
      </c>
      <c r="B550" t="str">
        <f t="shared" si="20"/>
        <v>SEVROLL Pax úchytová lišta 3m RAL9003 lesk</v>
      </c>
      <c r="C550" s="209">
        <f t="shared" si="18"/>
        <v>34.155369999999998</v>
      </c>
      <c r="D550" s="542" t="s">
        <v>3403</v>
      </c>
      <c r="E550" s="542" t="s">
        <v>2300</v>
      </c>
      <c r="F550" s="542" t="s">
        <v>3404</v>
      </c>
      <c r="G550" s="542" t="s">
        <v>2301</v>
      </c>
      <c r="H550" s="426">
        <v>1001.33376</v>
      </c>
      <c r="I550" s="425">
        <v>34.155369999999998</v>
      </c>
      <c r="J550" s="425">
        <v>118.33</v>
      </c>
      <c r="K550" s="425">
        <v>11345.39503</v>
      </c>
      <c r="L550" s="542" t="s">
        <v>622</v>
      </c>
      <c r="M550" s="423" t="s">
        <v>699</v>
      </c>
      <c r="N550" s="206">
        <v>688.57820000000004</v>
      </c>
      <c r="O550" s="546"/>
      <c r="R550" s="206"/>
    </row>
    <row r="551" spans="1:18" ht="15">
      <c r="A551" s="424">
        <v>98080</v>
      </c>
      <c r="B551" t="str">
        <f t="shared" si="20"/>
        <v>SEVROLL Comfort spodné vedenie 4,05m striebo</v>
      </c>
      <c r="C551" s="209">
        <f t="shared" si="18"/>
        <v>37.3371</v>
      </c>
      <c r="D551" s="542" t="s">
        <v>3868</v>
      </c>
      <c r="E551" s="542" t="s">
        <v>1116</v>
      </c>
      <c r="F551" s="542" t="s">
        <v>3869</v>
      </c>
      <c r="G551" s="542" t="s">
        <v>1662</v>
      </c>
      <c r="H551" s="426">
        <v>1002.04544</v>
      </c>
      <c r="I551" s="425">
        <v>37.3371</v>
      </c>
      <c r="J551" s="425">
        <v>139.65</v>
      </c>
      <c r="K551" s="425">
        <v>11353.458559999999</v>
      </c>
      <c r="L551" s="542" t="s">
        <v>622</v>
      </c>
      <c r="M551" s="423" t="s">
        <v>699</v>
      </c>
      <c r="N551" s="206">
        <v>689.23149999999998</v>
      </c>
      <c r="O551" s="546"/>
      <c r="R551" s="206"/>
    </row>
    <row r="552" spans="1:18" ht="15">
      <c r="A552" s="424">
        <v>100106</v>
      </c>
      <c r="B552" t="str">
        <f t="shared" si="20"/>
        <v>SEVROLL Master úchytová lišta 3m oliva</v>
      </c>
      <c r="C552" s="209">
        <f t="shared" si="18"/>
        <v>32.998379999999997</v>
      </c>
      <c r="D552" s="542" t="s">
        <v>3501</v>
      </c>
      <c r="E552" s="542" t="s">
        <v>2148</v>
      </c>
      <c r="F552" s="542" t="s">
        <v>3501</v>
      </c>
      <c r="G552" s="542" t="s">
        <v>2149</v>
      </c>
      <c r="H552" s="426">
        <v>1002.75712</v>
      </c>
      <c r="I552" s="425">
        <v>32.998379999999997</v>
      </c>
      <c r="J552" s="425">
        <v>118.5</v>
      </c>
      <c r="K552" s="425">
        <v>11361.5221</v>
      </c>
      <c r="L552" s="542" t="s">
        <v>622</v>
      </c>
      <c r="M552" s="423" t="s">
        <v>699</v>
      </c>
      <c r="N552" s="206">
        <v>689.88480000000004</v>
      </c>
      <c r="O552" s="546"/>
      <c r="R552" s="206"/>
    </row>
    <row r="553" spans="1:18" ht="15">
      <c r="A553" s="429">
        <v>223529</v>
      </c>
      <c r="B553" t="str">
        <f t="shared" si="20"/>
        <v>SEVROLL Herkules sada kovania 120kg</v>
      </c>
      <c r="C553" s="209">
        <f t="shared" si="18"/>
        <v>41.940959999999997</v>
      </c>
      <c r="D553" s="542" t="s">
        <v>3646</v>
      </c>
      <c r="E553" s="542" t="s">
        <v>1321</v>
      </c>
      <c r="F553" s="542" t="s">
        <v>3647</v>
      </c>
      <c r="G553" s="542" t="s">
        <v>2830</v>
      </c>
      <c r="H553" s="426">
        <v>1058.64624</v>
      </c>
      <c r="I553" s="425">
        <v>41.940959999999997</v>
      </c>
      <c r="J553" s="425">
        <v>121.92</v>
      </c>
      <c r="K553" s="425">
        <v>11901.779</v>
      </c>
      <c r="L553" s="542" t="s">
        <v>622</v>
      </c>
      <c r="M553" s="430" t="s">
        <v>700</v>
      </c>
      <c r="N553" s="206">
        <v>696.69024000000002</v>
      </c>
      <c r="O553" s="546"/>
      <c r="R553" s="206"/>
    </row>
    <row r="554" spans="1:18" ht="15">
      <c r="A554" s="424">
        <v>98107</v>
      </c>
      <c r="B554" t="str">
        <f t="shared" si="20"/>
        <v>SEVROLL Doubler ll spodné vedenie 4,05m str.</v>
      </c>
      <c r="C554" s="209">
        <f t="shared" si="18"/>
        <v>37.795070000000003</v>
      </c>
      <c r="D554" s="542" t="s">
        <v>3843</v>
      </c>
      <c r="E554" s="542" t="s">
        <v>1706</v>
      </c>
      <c r="F554" s="542" t="s">
        <v>3844</v>
      </c>
      <c r="G554" s="542" t="s">
        <v>1707</v>
      </c>
      <c r="H554" s="426">
        <v>1014.144</v>
      </c>
      <c r="I554" s="425">
        <v>37.795070000000003</v>
      </c>
      <c r="J554" s="425">
        <v>130.19999999999999</v>
      </c>
      <c r="K554" s="425">
        <v>11490.53867</v>
      </c>
      <c r="L554" s="542" t="s">
        <v>621</v>
      </c>
      <c r="M554" s="423" t="s">
        <v>699</v>
      </c>
      <c r="N554" s="206">
        <v>697.72439999999995</v>
      </c>
      <c r="O554" s="546"/>
      <c r="R554" s="206"/>
    </row>
    <row r="555" spans="1:18" ht="15">
      <c r="A555" s="424">
        <v>284972</v>
      </c>
      <c r="B555" t="str">
        <f t="shared" si="20"/>
        <v>SEVROLL Maxim horné vedenie 2,5m oliva</v>
      </c>
      <c r="C555" s="209">
        <f t="shared" si="18"/>
        <v>35.38467</v>
      </c>
      <c r="D555" s="542" t="s">
        <v>3498</v>
      </c>
      <c r="E555" s="542" t="s">
        <v>2158</v>
      </c>
      <c r="F555" s="542" t="s">
        <v>3499</v>
      </c>
      <c r="G555" s="542" t="s">
        <v>2159</v>
      </c>
      <c r="H555" s="426">
        <v>1019.12576</v>
      </c>
      <c r="I555" s="425">
        <v>35.38467</v>
      </c>
      <c r="J555" s="425">
        <v>120.43</v>
      </c>
      <c r="K555" s="425">
        <v>11546.98343</v>
      </c>
      <c r="L555" s="542" t="s">
        <v>622</v>
      </c>
      <c r="M555" s="423" t="s">
        <v>699</v>
      </c>
      <c r="N555" s="206">
        <v>700.99090000000001</v>
      </c>
      <c r="O555" s="546"/>
      <c r="R555" s="206"/>
    </row>
    <row r="556" spans="1:18" ht="15">
      <c r="A556" s="424">
        <v>98054</v>
      </c>
      <c r="B556" t="str">
        <f t="shared" si="20"/>
        <v>SEVROLL Maxim sada kov. Pr 2.dv. 1,8m str.</v>
      </c>
      <c r="C556" s="209">
        <f t="shared" si="18"/>
        <v>27.470300000000002</v>
      </c>
      <c r="D556" s="542" t="s">
        <v>4377</v>
      </c>
      <c r="E556" s="542" t="s">
        <v>2195</v>
      </c>
      <c r="F556" s="542" t="s">
        <v>4378</v>
      </c>
      <c r="G556" s="542" t="s">
        <v>2196</v>
      </c>
      <c r="H556" s="426">
        <v>884.61824000000001</v>
      </c>
      <c r="I556" s="425">
        <v>27.470300000000002</v>
      </c>
      <c r="J556" s="425">
        <v>104.54</v>
      </c>
      <c r="K556" s="425">
        <v>10022.975130000001</v>
      </c>
      <c r="L556" s="542" t="s">
        <v>621</v>
      </c>
      <c r="M556" s="423" t="s">
        <v>699</v>
      </c>
      <c r="N556" s="206">
        <v>702.95079999999996</v>
      </c>
      <c r="O556" s="546"/>
      <c r="R556" s="206"/>
    </row>
    <row r="557" spans="1:18" ht="15">
      <c r="A557" s="429">
        <v>230886</v>
      </c>
      <c r="B557" t="str">
        <f t="shared" si="20"/>
        <v>SEVROLL krycia lišta Herkules Glass 2m strie</v>
      </c>
      <c r="C557" s="209">
        <f t="shared" si="18"/>
        <v>44.0139</v>
      </c>
      <c r="D557" s="542" t="s">
        <v>3552</v>
      </c>
      <c r="E557" s="542" t="s">
        <v>1324</v>
      </c>
      <c r="F557" s="542" t="s">
        <v>3553</v>
      </c>
      <c r="G557" s="542" t="s">
        <v>2806</v>
      </c>
      <c r="H557" s="426">
        <v>1074.42552</v>
      </c>
      <c r="I557" s="425">
        <v>44.0139</v>
      </c>
      <c r="J557" s="425">
        <v>123.73</v>
      </c>
      <c r="K557" s="425">
        <v>12079.176799999999</v>
      </c>
      <c r="L557" s="542" t="s">
        <v>622</v>
      </c>
      <c r="M557" s="430" t="s">
        <v>699</v>
      </c>
      <c r="N557" s="206">
        <v>708.68038000000001</v>
      </c>
      <c r="O557" s="546"/>
      <c r="R557" s="206"/>
    </row>
    <row r="558" spans="1:18" ht="15">
      <c r="A558" s="424">
        <v>349805</v>
      </c>
      <c r="B558" t="str">
        <f t="shared" si="20"/>
        <v>SEVROLL Blue horné vedenie 4m oliva</v>
      </c>
      <c r="C558" s="209">
        <f t="shared" si="18"/>
        <v>42.370640000000002</v>
      </c>
      <c r="D558" s="542" t="s">
        <v>4673</v>
      </c>
      <c r="E558" s="542" t="s">
        <v>1593</v>
      </c>
      <c r="F558" s="542" t="s">
        <v>4674</v>
      </c>
      <c r="G558" s="542" t="s">
        <v>84</v>
      </c>
      <c r="H558" s="426">
        <v>944.25480000000005</v>
      </c>
      <c r="I558" s="425">
        <v>42.370640000000002</v>
      </c>
      <c r="J558" s="425">
        <v>108.91</v>
      </c>
      <c r="K558" s="425">
        <v>10143.928180000001</v>
      </c>
      <c r="L558" s="542" t="s">
        <v>621</v>
      </c>
      <c r="M558" s="423" t="s">
        <v>699</v>
      </c>
      <c r="N558" s="206">
        <v>710.81820000000005</v>
      </c>
      <c r="O558" s="546"/>
      <c r="R558" s="206"/>
    </row>
    <row r="559" spans="1:18" ht="15">
      <c r="A559" s="424">
        <v>350688</v>
      </c>
      <c r="B559" t="str">
        <f t="shared" si="20"/>
        <v/>
      </c>
      <c r="C559" s="209">
        <f t="shared" si="18"/>
        <v>38.49409</v>
      </c>
      <c r="D559" s="542" t="s">
        <v>4612</v>
      </c>
      <c r="E559" s="542" t="s">
        <v>1773</v>
      </c>
      <c r="F559" s="542" t="s">
        <v>84</v>
      </c>
      <c r="G559" s="542" t="s">
        <v>84</v>
      </c>
      <c r="H559" s="426">
        <v>1033.3593599999999</v>
      </c>
      <c r="I559" s="425">
        <v>38.49409</v>
      </c>
      <c r="J559" s="425">
        <v>141.31</v>
      </c>
      <c r="K559" s="425">
        <v>11708.254150000001</v>
      </c>
      <c r="L559" s="542" t="s">
        <v>621</v>
      </c>
      <c r="M559" s="423" t="s">
        <v>699</v>
      </c>
      <c r="N559" s="206">
        <v>714.71019999999999</v>
      </c>
      <c r="O559" s="546"/>
      <c r="R559" s="206"/>
    </row>
    <row r="560" spans="1:18" ht="15">
      <c r="A560" s="429">
        <v>120832</v>
      </c>
      <c r="B560" t="str">
        <f t="shared" si="20"/>
        <v>SEVROLL-EXCLUSIVE HORNÉ VEDENIE 3M OLIVA</v>
      </c>
      <c r="C560" s="209">
        <f t="shared" si="18"/>
        <v>37.481720000000003</v>
      </c>
      <c r="D560" s="542" t="s">
        <v>3789</v>
      </c>
      <c r="E560" s="542" t="s">
        <v>1070</v>
      </c>
      <c r="F560" s="542" t="s">
        <v>1071</v>
      </c>
      <c r="G560" s="542" t="s">
        <v>2843</v>
      </c>
      <c r="H560" s="426">
        <v>1088.0530799999999</v>
      </c>
      <c r="I560" s="425">
        <v>37.481720000000003</v>
      </c>
      <c r="J560" s="425">
        <v>127.47</v>
      </c>
      <c r="K560" s="425">
        <v>12232.383980000001</v>
      </c>
      <c r="L560" s="542" t="s">
        <v>622</v>
      </c>
      <c r="M560" s="430" t="s">
        <v>699</v>
      </c>
      <c r="N560" s="206">
        <v>717.51522</v>
      </c>
      <c r="O560" s="546"/>
      <c r="R560" s="206"/>
    </row>
    <row r="561" spans="1:18" ht="15">
      <c r="A561" s="424">
        <v>191638</v>
      </c>
      <c r="B561" t="str">
        <f t="shared" si="20"/>
        <v>SEVROLL-HOR.VEDENIE JEDNOD.TOP 3M STR.</v>
      </c>
      <c r="C561" s="209">
        <f t="shared" si="18"/>
        <v>36.830910000000003</v>
      </c>
      <c r="D561" s="542" t="s">
        <v>3225</v>
      </c>
      <c r="E561" s="542" t="s">
        <v>2577</v>
      </c>
      <c r="F561" s="542" t="s">
        <v>795</v>
      </c>
      <c r="G561" s="542" t="s">
        <v>2578</v>
      </c>
      <c r="H561" s="426">
        <v>1061.1148800000001</v>
      </c>
      <c r="I561" s="425">
        <v>36.830910000000003</v>
      </c>
      <c r="J561" s="425">
        <v>125.4</v>
      </c>
      <c r="K561" s="425">
        <v>12022.732050000001</v>
      </c>
      <c r="L561" s="542" t="s">
        <v>622</v>
      </c>
      <c r="M561" s="423" t="s">
        <v>699</v>
      </c>
      <c r="N561" s="206">
        <v>729.73609999999996</v>
      </c>
      <c r="O561" s="546"/>
      <c r="R561" s="206"/>
    </row>
    <row r="562" spans="1:18" ht="15">
      <c r="A562" s="427">
        <v>340595</v>
      </c>
      <c r="B562" t="str">
        <f t="shared" si="20"/>
        <v/>
      </c>
      <c r="C562" s="209" t="e">
        <f t="shared" si="18"/>
        <v>#N/A</v>
      </c>
      <c r="D562" s="542" t="s">
        <v>2716</v>
      </c>
      <c r="E562" s="542" t="s">
        <v>2724</v>
      </c>
      <c r="F562" s="542" t="s">
        <v>84</v>
      </c>
      <c r="G562" s="542" t="s">
        <v>84</v>
      </c>
      <c r="H562" s="426">
        <v>802.84176000000002</v>
      </c>
      <c r="I562" s="425" t="e">
        <v>#N/A</v>
      </c>
      <c r="J562" s="425">
        <v>120.32668</v>
      </c>
      <c r="K562" s="425">
        <v>9662.8134800000007</v>
      </c>
      <c r="L562" s="542" t="s">
        <v>622</v>
      </c>
      <c r="M562" s="428" t="s">
        <v>699</v>
      </c>
      <c r="N562" s="206">
        <v>732.75239999999997</v>
      </c>
      <c r="O562" s="546"/>
      <c r="R562" s="206"/>
    </row>
    <row r="563" spans="1:18" ht="15">
      <c r="A563" s="424">
        <v>284958</v>
      </c>
      <c r="B563" t="str">
        <f t="shared" si="20"/>
        <v>SEVROLL Maxim spod.krycí lišta 2,5m oliva</v>
      </c>
      <c r="C563" s="209">
        <f t="shared" si="18"/>
        <v>37.457619999999999</v>
      </c>
      <c r="D563" s="542" t="s">
        <v>3473</v>
      </c>
      <c r="E563" s="542" t="s">
        <v>2204</v>
      </c>
      <c r="F563" s="542" t="s">
        <v>3474</v>
      </c>
      <c r="G563" s="542" t="s">
        <v>2205</v>
      </c>
      <c r="H563" s="426">
        <v>1078.90688</v>
      </c>
      <c r="I563" s="425">
        <v>37.457619999999999</v>
      </c>
      <c r="J563" s="425">
        <v>127.5</v>
      </c>
      <c r="K563" s="425">
        <v>12224.32044</v>
      </c>
      <c r="L563" s="542" t="s">
        <v>622</v>
      </c>
      <c r="M563" s="423" t="s">
        <v>699</v>
      </c>
      <c r="N563" s="206">
        <v>742.14880000000005</v>
      </c>
      <c r="O563" s="546"/>
      <c r="R563" s="206"/>
    </row>
    <row r="564" spans="1:18" ht="15">
      <c r="A564" s="427">
        <v>195460</v>
      </c>
      <c r="B564" t="str">
        <f t="shared" si="20"/>
        <v>ASTIN spojovací lišta H10 5,4m oliva lak.</v>
      </c>
      <c r="C564" s="209" t="e">
        <f t="shared" si="18"/>
        <v>#N/A</v>
      </c>
      <c r="D564" s="542" t="s">
        <v>3949</v>
      </c>
      <c r="E564" s="542" t="s">
        <v>810</v>
      </c>
      <c r="F564" s="542" t="s">
        <v>3950</v>
      </c>
      <c r="G564" s="542" t="s">
        <v>811</v>
      </c>
      <c r="H564" s="426">
        <v>817.55352000000005</v>
      </c>
      <c r="I564" s="425" t="e">
        <v>#N/A</v>
      </c>
      <c r="J564" s="425">
        <v>122.53161</v>
      </c>
      <c r="K564" s="425">
        <v>9839.8807500000003</v>
      </c>
      <c r="L564" s="542" t="s">
        <v>622</v>
      </c>
      <c r="M564" s="428" t="s">
        <v>699</v>
      </c>
      <c r="N564" s="206">
        <v>746.1798</v>
      </c>
      <c r="O564" s="546"/>
      <c r="R564" s="206"/>
    </row>
    <row r="565" spans="1:18" ht="15">
      <c r="A565" s="424">
        <v>284970</v>
      </c>
      <c r="B565" t="str">
        <f t="shared" si="20"/>
        <v>SEVROLL Maxim vod.lišta 3,5m oliva</v>
      </c>
      <c r="C565" s="209">
        <f t="shared" si="18"/>
        <v>36.107790000000001</v>
      </c>
      <c r="D565" s="542" t="s">
        <v>3451</v>
      </c>
      <c r="E565" s="542" t="s">
        <v>2231</v>
      </c>
      <c r="F565" s="542" t="s">
        <v>3452</v>
      </c>
      <c r="G565" s="542" t="s">
        <v>2232</v>
      </c>
      <c r="H565" s="426">
        <v>1040.4761599999999</v>
      </c>
      <c r="I565" s="425">
        <v>36.107790000000001</v>
      </c>
      <c r="J565" s="425">
        <v>122.96</v>
      </c>
      <c r="K565" s="425">
        <v>11788.889510000001</v>
      </c>
      <c r="L565" s="542" t="s">
        <v>622</v>
      </c>
      <c r="M565" s="423" t="s">
        <v>699</v>
      </c>
      <c r="N565" s="206">
        <v>751.94830000000002</v>
      </c>
      <c r="O565" s="546"/>
      <c r="R565" s="206"/>
    </row>
    <row r="566" spans="1:18" ht="15">
      <c r="A566" s="424">
        <v>308668</v>
      </c>
      <c r="B566" t="str">
        <f t="shared" si="20"/>
        <v>SEVROLL Gemini spodné vedenie 6m oliva</v>
      </c>
      <c r="C566" s="209">
        <f t="shared" si="18"/>
        <v>39.024380000000001</v>
      </c>
      <c r="D566" s="542" t="s">
        <v>4517</v>
      </c>
      <c r="E566" s="542" t="s">
        <v>4518</v>
      </c>
      <c r="F566" s="542" t="s">
        <v>4519</v>
      </c>
      <c r="G566" s="542" t="s">
        <v>1972</v>
      </c>
      <c r="H566" s="426">
        <v>1047.5929599999999</v>
      </c>
      <c r="I566" s="425">
        <v>39.024380000000001</v>
      </c>
      <c r="J566" s="425">
        <v>129.28</v>
      </c>
      <c r="K566" s="425">
        <v>11869.524869999999</v>
      </c>
      <c r="L566" s="542" t="s">
        <v>621</v>
      </c>
      <c r="M566" s="423" t="s">
        <v>699</v>
      </c>
      <c r="N566" s="206">
        <v>756.52139999999997</v>
      </c>
      <c r="O566" s="546"/>
      <c r="R566" s="206"/>
    </row>
    <row r="567" spans="1:18" ht="15">
      <c r="A567" s="424">
        <v>205174</v>
      </c>
      <c r="B567" t="str">
        <f t="shared" si="20"/>
        <v>SEVROLL spod.krycia lišta 3m oliva tm.kartáč</v>
      </c>
      <c r="C567" s="209">
        <f t="shared" si="18"/>
        <v>36.493459999999999</v>
      </c>
      <c r="D567" s="542" t="s">
        <v>3301</v>
      </c>
      <c r="E567" s="542" t="s">
        <v>1080</v>
      </c>
      <c r="F567" s="542" t="s">
        <v>3302</v>
      </c>
      <c r="G567" s="542" t="s">
        <v>2453</v>
      </c>
      <c r="H567" s="426">
        <v>1051.1513600000001</v>
      </c>
      <c r="I567" s="425">
        <v>36.493459999999999</v>
      </c>
      <c r="J567" s="425">
        <v>136.58000000000001</v>
      </c>
      <c r="K567" s="425">
        <v>11909.84254</v>
      </c>
      <c r="L567" s="542" t="s">
        <v>622</v>
      </c>
      <c r="M567" s="423" t="s">
        <v>699</v>
      </c>
      <c r="N567" s="206">
        <v>759.78790000000004</v>
      </c>
      <c r="O567" s="546"/>
      <c r="R567" s="206"/>
    </row>
    <row r="568" spans="1:18" ht="15">
      <c r="A568" s="429">
        <v>346129</v>
      </c>
      <c r="B568" t="str">
        <f t="shared" si="20"/>
        <v/>
      </c>
      <c r="C568" s="209">
        <f t="shared" si="18"/>
        <v>56.885440000000003</v>
      </c>
      <c r="D568" s="542" t="s">
        <v>3649</v>
      </c>
      <c r="E568" s="542" t="s">
        <v>2756</v>
      </c>
      <c r="F568" s="542" t="s">
        <v>84</v>
      </c>
      <c r="G568" s="542" t="s">
        <v>84</v>
      </c>
      <c r="H568" s="426">
        <v>1156.5495000000001</v>
      </c>
      <c r="I568" s="425">
        <v>56.885440000000003</v>
      </c>
      <c r="J568" s="425">
        <v>169.17</v>
      </c>
      <c r="K568" s="425">
        <v>16137.18664</v>
      </c>
      <c r="L568" s="542" t="s">
        <v>622</v>
      </c>
      <c r="M568" s="430" t="s">
        <v>699</v>
      </c>
      <c r="N568" s="206">
        <v>760.91380000000004</v>
      </c>
      <c r="O568" s="546"/>
      <c r="R568" s="206"/>
    </row>
    <row r="569" spans="1:18" ht="15">
      <c r="A569" s="424">
        <v>163114</v>
      </c>
      <c r="B569" t="str">
        <f t="shared" si="20"/>
        <v>SEVROLL-SPOD.VED. DOUBLER II 4,05M OLIVA</v>
      </c>
      <c r="C569" s="209">
        <f t="shared" si="18"/>
        <v>41.5794</v>
      </c>
      <c r="D569" s="542" t="s">
        <v>3845</v>
      </c>
      <c r="E569" s="542" t="s">
        <v>1704</v>
      </c>
      <c r="F569" s="542" t="s">
        <v>677</v>
      </c>
      <c r="G569" s="542" t="s">
        <v>1705</v>
      </c>
      <c r="H569" s="426">
        <v>1115.9142400000001</v>
      </c>
      <c r="I569" s="425">
        <v>41.5794</v>
      </c>
      <c r="J569" s="425">
        <v>143.24</v>
      </c>
      <c r="K569" s="425">
        <v>12643.624309999999</v>
      </c>
      <c r="L569" s="542" t="s">
        <v>622</v>
      </c>
      <c r="M569" s="423" t="s">
        <v>699</v>
      </c>
      <c r="N569" s="206">
        <v>767.62750000000005</v>
      </c>
      <c r="O569" s="546"/>
      <c r="R569" s="206"/>
    </row>
    <row r="570" spans="1:18" ht="15">
      <c r="A570" s="424">
        <v>163120</v>
      </c>
      <c r="B570" t="str">
        <f t="shared" si="20"/>
        <v>SEVROLL Doubler II spodné vedenie 4,05m zlat</v>
      </c>
      <c r="C570" s="209">
        <f t="shared" si="18"/>
        <v>33.317160000000001</v>
      </c>
      <c r="D570" s="542" t="s">
        <v>3841</v>
      </c>
      <c r="E570" s="542" t="s">
        <v>906</v>
      </c>
      <c r="F570" s="542" t="s">
        <v>3842</v>
      </c>
      <c r="G570" s="542" t="s">
        <v>1708</v>
      </c>
      <c r="H570" s="426">
        <v>0</v>
      </c>
      <c r="I570" s="425">
        <v>33.317160000000001</v>
      </c>
      <c r="J570" s="425">
        <v>0</v>
      </c>
      <c r="K570" s="425">
        <v>0</v>
      </c>
      <c r="L570" s="542" t="s">
        <v>623</v>
      </c>
      <c r="M570" s="423" t="s">
        <v>699</v>
      </c>
      <c r="N570" s="206">
        <v>767.62750000000005</v>
      </c>
      <c r="O570" s="546"/>
      <c r="R570" s="206"/>
    </row>
    <row r="571" spans="1:18" ht="15">
      <c r="A571" s="429">
        <v>353410</v>
      </c>
      <c r="B571" t="str">
        <f t="shared" si="20"/>
        <v/>
      </c>
      <c r="C571" s="209">
        <f t="shared" ref="C571:C634" si="21">IF($A$2=1,H571,IF($A$2=2,I571,IF($A$2=3,J571,IF($A$2=4,K571,"zadat jazyk"))))</f>
        <v>45.315519999999999</v>
      </c>
      <c r="D571" s="542" t="s">
        <v>3180</v>
      </c>
      <c r="E571" s="542" t="s">
        <v>2744</v>
      </c>
      <c r="F571" s="542" t="s">
        <v>84</v>
      </c>
      <c r="G571" s="542" t="s">
        <v>84</v>
      </c>
      <c r="H571" s="426">
        <v>1169.1012000000001</v>
      </c>
      <c r="I571" s="425">
        <v>45.315519999999999</v>
      </c>
      <c r="J571" s="425">
        <v>142.09</v>
      </c>
      <c r="K571" s="425">
        <v>13143.563539999999</v>
      </c>
      <c r="L571" s="542" t="s">
        <v>622</v>
      </c>
      <c r="M571" s="430" t="s">
        <v>699</v>
      </c>
      <c r="N571" s="206">
        <v>771.15531999999996</v>
      </c>
      <c r="O571" s="546"/>
      <c r="R571" s="206"/>
    </row>
    <row r="572" spans="1:18" ht="15">
      <c r="A572" s="424">
        <v>284526</v>
      </c>
      <c r="B572" t="str">
        <f t="shared" si="20"/>
        <v>SEVROLL Pax spod.krycia lišta 3m RAL9003 les</v>
      </c>
      <c r="C572" s="209">
        <f t="shared" si="21"/>
        <v>38.638710000000003</v>
      </c>
      <c r="D572" s="542" t="s">
        <v>3407</v>
      </c>
      <c r="E572" s="542" t="s">
        <v>2292</v>
      </c>
      <c r="F572" s="542" t="s">
        <v>3408</v>
      </c>
      <c r="G572" s="542" t="s">
        <v>2293</v>
      </c>
      <c r="H572" s="426">
        <v>1132.9945600000001</v>
      </c>
      <c r="I572" s="425">
        <v>38.638710000000003</v>
      </c>
      <c r="J572" s="425">
        <v>133.88999999999999</v>
      </c>
      <c r="K572" s="425">
        <v>12837.14918</v>
      </c>
      <c r="L572" s="542" t="s">
        <v>622</v>
      </c>
      <c r="M572" s="423" t="s">
        <v>699</v>
      </c>
      <c r="N572" s="206">
        <v>779.38689999999997</v>
      </c>
      <c r="O572" s="546"/>
      <c r="R572" s="206"/>
    </row>
    <row r="573" spans="1:18" ht="15">
      <c r="A573" s="429">
        <v>234399</v>
      </c>
      <c r="B573" t="str">
        <f t="shared" si="20"/>
        <v>SEVROLL Exclusive horné vedenie 3,6m strieborná</v>
      </c>
      <c r="C573" s="209">
        <f t="shared" si="21"/>
        <v>40.856279999999998</v>
      </c>
      <c r="D573" s="542" t="s">
        <v>3790</v>
      </c>
      <c r="E573" s="542" t="s">
        <v>1328</v>
      </c>
      <c r="F573" s="542" t="s">
        <v>3791</v>
      </c>
      <c r="G573" s="542" t="s">
        <v>2844</v>
      </c>
      <c r="H573" s="426">
        <v>1186.3149599999999</v>
      </c>
      <c r="I573" s="425">
        <v>40.856279999999998</v>
      </c>
      <c r="J573" s="425">
        <v>139.06</v>
      </c>
      <c r="K573" s="425">
        <v>13337.08841</v>
      </c>
      <c r="L573" s="542" t="s">
        <v>622</v>
      </c>
      <c r="M573" s="430" t="s">
        <v>699</v>
      </c>
      <c r="N573" s="206">
        <v>782.51440000000002</v>
      </c>
      <c r="O573" s="546"/>
      <c r="R573" s="206"/>
    </row>
    <row r="574" spans="1:18" ht="15">
      <c r="A574" s="424">
        <v>89114</v>
      </c>
      <c r="B574" t="str">
        <f t="shared" si="20"/>
        <v>SEV -Gemini horné vedenie 4,05m oliva</v>
      </c>
      <c r="C574" s="209">
        <f t="shared" si="21"/>
        <v>44.592399999999998</v>
      </c>
      <c r="D574" s="542" t="s">
        <v>4547</v>
      </c>
      <c r="E574" s="542" t="s">
        <v>1936</v>
      </c>
      <c r="F574" s="542" t="s">
        <v>1938</v>
      </c>
      <c r="G574" s="542" t="s">
        <v>1937</v>
      </c>
      <c r="H574" s="426">
        <v>1145.09312</v>
      </c>
      <c r="I574" s="425">
        <v>44.592399999999998</v>
      </c>
      <c r="J574" s="425">
        <v>147.82</v>
      </c>
      <c r="K574" s="425">
        <v>12974.22928</v>
      </c>
      <c r="L574" s="542" t="s">
        <v>621</v>
      </c>
      <c r="M574" s="423" t="s">
        <v>699</v>
      </c>
      <c r="N574" s="206">
        <v>791.1463</v>
      </c>
      <c r="O574" s="546"/>
      <c r="R574" s="206"/>
    </row>
    <row r="575" spans="1:18" ht="15">
      <c r="A575" s="424">
        <v>89113</v>
      </c>
      <c r="B575" t="str">
        <f t="shared" si="20"/>
        <v>SEVROLL Gemini horné vedenie 4,05m zlatá</v>
      </c>
      <c r="C575" s="209">
        <f t="shared" si="21"/>
        <v>44.592399999999998</v>
      </c>
      <c r="D575" s="542" t="s">
        <v>3694</v>
      </c>
      <c r="E575" s="542" t="s">
        <v>1946</v>
      </c>
      <c r="F575" s="542" t="s">
        <v>3695</v>
      </c>
      <c r="G575" s="542" t="s">
        <v>1947</v>
      </c>
      <c r="H575" s="426">
        <v>1145.09312</v>
      </c>
      <c r="I575" s="425">
        <v>44.592399999999998</v>
      </c>
      <c r="J575" s="425">
        <v>147.82</v>
      </c>
      <c r="K575" s="425">
        <v>12974.22928</v>
      </c>
      <c r="L575" s="542" t="s">
        <v>622</v>
      </c>
      <c r="M575" s="423" t="s">
        <v>699</v>
      </c>
      <c r="N575" s="206">
        <v>791.1463</v>
      </c>
      <c r="O575" s="546"/>
      <c r="R575" s="206"/>
    </row>
    <row r="576" spans="1:18" ht="15">
      <c r="A576" s="429">
        <v>223510</v>
      </c>
      <c r="B576" t="str">
        <f t="shared" si="20"/>
        <v>SEVROLL horné vedenie Herkules 2 3m alu</v>
      </c>
      <c r="C576" s="209">
        <f t="shared" si="21"/>
        <v>52.377989999999997</v>
      </c>
      <c r="D576" s="542" t="s">
        <v>3657</v>
      </c>
      <c r="E576" s="542" t="s">
        <v>2760</v>
      </c>
      <c r="F576" s="542" t="s">
        <v>3658</v>
      </c>
      <c r="G576" s="542" t="s">
        <v>2835</v>
      </c>
      <c r="H576" s="426">
        <v>1277.40444</v>
      </c>
      <c r="I576" s="425">
        <v>52.377989999999997</v>
      </c>
      <c r="J576" s="425">
        <v>173.36689999999999</v>
      </c>
      <c r="K576" s="425">
        <v>14361.15746</v>
      </c>
      <c r="L576" s="542" t="s">
        <v>622</v>
      </c>
      <c r="M576" s="430" t="s">
        <v>699</v>
      </c>
      <c r="N576" s="206">
        <v>800.18407999999999</v>
      </c>
      <c r="O576" s="546"/>
      <c r="R576" s="206"/>
    </row>
    <row r="577" spans="1:18" ht="15">
      <c r="A577" s="429">
        <v>84174</v>
      </c>
      <c r="B577" t="str">
        <f t="shared" si="20"/>
        <v>SEV-Herkules 2 horné vedenie  3m alu</v>
      </c>
      <c r="C577" s="209">
        <f t="shared" si="21"/>
        <v>52.377989999999997</v>
      </c>
      <c r="D577" s="542" t="s">
        <v>1300</v>
      </c>
      <c r="E577" s="542" t="s">
        <v>1302</v>
      </c>
      <c r="F577" s="542" t="s">
        <v>1301</v>
      </c>
      <c r="G577" s="542" t="s">
        <v>2835</v>
      </c>
      <c r="H577" s="426">
        <v>1277.40444</v>
      </c>
      <c r="I577" s="425">
        <v>52.377989999999997</v>
      </c>
      <c r="J577" s="425">
        <v>149.82</v>
      </c>
      <c r="K577" s="425">
        <v>14361.15746</v>
      </c>
      <c r="L577" s="542" t="s">
        <v>620</v>
      </c>
      <c r="M577" s="430" t="s">
        <v>699</v>
      </c>
      <c r="N577" s="206">
        <v>800.18407999999999</v>
      </c>
      <c r="O577" s="546"/>
      <c r="R577" s="206"/>
    </row>
    <row r="578" spans="1:18" ht="15">
      <c r="A578" s="424">
        <v>308645</v>
      </c>
      <c r="B578" t="str">
        <f t="shared" si="20"/>
        <v>SEVROLL Elegant sp.ved.6m RAL9003 lesk</v>
      </c>
      <c r="C578" s="209">
        <f t="shared" si="21"/>
        <v>41.362459999999999</v>
      </c>
      <c r="D578" s="542" t="s">
        <v>3815</v>
      </c>
      <c r="E578" s="542" t="s">
        <v>1769</v>
      </c>
      <c r="F578" s="542" t="s">
        <v>3816</v>
      </c>
      <c r="G578" s="542" t="s">
        <v>1770</v>
      </c>
      <c r="H578" s="426">
        <v>1110.2208000000001</v>
      </c>
      <c r="I578" s="425">
        <v>41.362459999999999</v>
      </c>
      <c r="J578" s="425">
        <v>147.18</v>
      </c>
      <c r="K578" s="425">
        <v>12579.116029999999</v>
      </c>
      <c r="L578" s="542" t="s">
        <v>622</v>
      </c>
      <c r="M578" s="423" t="s">
        <v>699</v>
      </c>
      <c r="N578" s="206">
        <v>801.59910000000002</v>
      </c>
      <c r="O578" s="546"/>
      <c r="R578" s="206"/>
    </row>
    <row r="579" spans="1:18" ht="15">
      <c r="A579" s="424">
        <v>191639</v>
      </c>
      <c r="B579" t="str">
        <f t="shared" si="20"/>
        <v>SEVROLL-HOR.VEDENIE JEDNOD.TOP 3M OLIVA</v>
      </c>
      <c r="C579" s="209">
        <f t="shared" si="21"/>
        <v>40.470619999999997</v>
      </c>
      <c r="D579" s="542" t="s">
        <v>3226</v>
      </c>
      <c r="E579" s="542" t="s">
        <v>2581</v>
      </c>
      <c r="F579" s="542" t="s">
        <v>796</v>
      </c>
      <c r="G579" s="542" t="s">
        <v>2582</v>
      </c>
      <c r="H579" s="426">
        <v>1165.02016</v>
      </c>
      <c r="I579" s="425">
        <v>40.470619999999997</v>
      </c>
      <c r="J579" s="425">
        <v>137.66999999999999</v>
      </c>
      <c r="K579" s="425">
        <v>13200.00828</v>
      </c>
      <c r="L579" s="542" t="s">
        <v>622</v>
      </c>
      <c r="M579" s="423" t="s">
        <v>699</v>
      </c>
      <c r="N579" s="206">
        <v>801.59910000000002</v>
      </c>
      <c r="O579" s="546"/>
      <c r="R579" s="206"/>
    </row>
    <row r="580" spans="1:18" ht="15">
      <c r="A580" s="427">
        <v>340596</v>
      </c>
      <c r="B580" t="str">
        <f t="shared" si="20"/>
        <v/>
      </c>
      <c r="C580" s="209" t="e">
        <f t="shared" si="21"/>
        <v>#N/A</v>
      </c>
      <c r="D580" s="542" t="s">
        <v>2715</v>
      </c>
      <c r="E580" s="542" t="s">
        <v>2723</v>
      </c>
      <c r="F580" s="542" t="s">
        <v>84</v>
      </c>
      <c r="G580" s="542" t="s">
        <v>84</v>
      </c>
      <c r="H580" s="426">
        <v>879.90336000000002</v>
      </c>
      <c r="I580" s="425" t="e">
        <v>#N/A</v>
      </c>
      <c r="J580" s="425">
        <v>131.87635</v>
      </c>
      <c r="K580" s="425">
        <v>10590.30867</v>
      </c>
      <c r="L580" s="542" t="s">
        <v>622</v>
      </c>
      <c r="M580" s="428" t="s">
        <v>699</v>
      </c>
      <c r="N580" s="206">
        <v>803.08640000000003</v>
      </c>
      <c r="O580" s="546"/>
      <c r="R580" s="206"/>
    </row>
    <row r="581" spans="1:18" ht="15">
      <c r="A581" s="424">
        <v>102825</v>
      </c>
      <c r="B581" t="str">
        <f t="shared" si="20"/>
        <v>SEVROLL-MAXIM VOD.LIŠTA 4,3 M STRIEBORNA</v>
      </c>
      <c r="C581" s="209">
        <f t="shared" si="21"/>
        <v>38.614609999999999</v>
      </c>
      <c r="D581" s="542" t="s">
        <v>4358</v>
      </c>
      <c r="E581" s="542" t="s">
        <v>2236</v>
      </c>
      <c r="F581" s="542" t="s">
        <v>666</v>
      </c>
      <c r="G581" s="542" t="s">
        <v>2237</v>
      </c>
      <c r="H581" s="426">
        <v>1112.3558399999999</v>
      </c>
      <c r="I581" s="425">
        <v>38.614609999999999</v>
      </c>
      <c r="J581" s="425">
        <v>131.44999999999999</v>
      </c>
      <c r="K581" s="425">
        <v>12603.306640000001</v>
      </c>
      <c r="L581" s="542" t="s">
        <v>621</v>
      </c>
      <c r="M581" s="423" t="s">
        <v>699</v>
      </c>
      <c r="N581" s="206">
        <v>803.55899999999997</v>
      </c>
      <c r="O581" s="546"/>
      <c r="R581" s="206"/>
    </row>
    <row r="582" spans="1:18" ht="15">
      <c r="A582" s="429">
        <v>98034</v>
      </c>
      <c r="B582" t="str">
        <f t="shared" si="20"/>
        <v>SEVROLL Exclusive sada kovánia ZPE-10</v>
      </c>
      <c r="C582" s="209">
        <f t="shared" si="21"/>
        <v>40.735759999999999</v>
      </c>
      <c r="D582" s="542" t="s">
        <v>3785</v>
      </c>
      <c r="E582" s="542" t="s">
        <v>2766</v>
      </c>
      <c r="F582" s="542" t="s">
        <v>3786</v>
      </c>
      <c r="G582" s="542" t="s">
        <v>2841</v>
      </c>
      <c r="H582" s="426">
        <v>1182.72876</v>
      </c>
      <c r="I582" s="425">
        <v>40.735759999999999</v>
      </c>
      <c r="J582" s="425">
        <v>136.21</v>
      </c>
      <c r="K582" s="425">
        <v>13296.77072</v>
      </c>
      <c r="L582" s="542" t="s">
        <v>622</v>
      </c>
      <c r="M582" s="430" t="s">
        <v>699</v>
      </c>
      <c r="N582" s="206">
        <v>819.11587999999995</v>
      </c>
      <c r="O582" s="546"/>
      <c r="R582" s="206"/>
    </row>
    <row r="583" spans="1:18" ht="15">
      <c r="A583" s="427">
        <v>248417</v>
      </c>
      <c r="B583" t="str">
        <f t="shared" si="20"/>
        <v>AST-Prestige úch.lišta 2,7 CE802TX</v>
      </c>
      <c r="C583" s="209" t="e">
        <f t="shared" si="21"/>
        <v>#N/A</v>
      </c>
      <c r="D583" s="542" t="s">
        <v>1329</v>
      </c>
      <c r="E583" s="542" t="s">
        <v>1331</v>
      </c>
      <c r="F583" s="542" t="s">
        <v>1330</v>
      </c>
      <c r="G583" s="542" t="s">
        <v>1332</v>
      </c>
      <c r="H583" s="426">
        <v>898.11792000000003</v>
      </c>
      <c r="I583" s="425" t="e">
        <v>#N/A</v>
      </c>
      <c r="J583" s="425">
        <v>134.60629</v>
      </c>
      <c r="K583" s="425">
        <v>10809.53479</v>
      </c>
      <c r="L583" s="542" t="s">
        <v>622</v>
      </c>
      <c r="M583" s="428" t="s">
        <v>699</v>
      </c>
      <c r="N583" s="206">
        <v>819.71079999999995</v>
      </c>
      <c r="O583" s="546"/>
      <c r="R583" s="206"/>
    </row>
    <row r="584" spans="1:18" ht="15">
      <c r="A584" s="424">
        <v>180414</v>
      </c>
      <c r="B584" t="str">
        <f t="shared" si="20"/>
        <v>SEVROLL-SPODNÉ VED. MAXIM II 6M STR.</v>
      </c>
      <c r="C584" s="209">
        <f t="shared" si="21"/>
        <v>41.531190000000002</v>
      </c>
      <c r="D584" s="542" t="s">
        <v>3477</v>
      </c>
      <c r="E584" s="542" t="s">
        <v>2193</v>
      </c>
      <c r="F584" s="542" t="s">
        <v>708</v>
      </c>
      <c r="G584" s="542" t="s">
        <v>2194</v>
      </c>
      <c r="H584" s="426">
        <v>1196.3340800000001</v>
      </c>
      <c r="I584" s="425">
        <v>41.531190000000002</v>
      </c>
      <c r="J584" s="425">
        <v>141.38</v>
      </c>
      <c r="K584" s="425">
        <v>13554.80387</v>
      </c>
      <c r="L584" s="542" t="s">
        <v>622</v>
      </c>
      <c r="M584" s="423" t="s">
        <v>699</v>
      </c>
      <c r="N584" s="206">
        <v>823.15800000000002</v>
      </c>
      <c r="O584" s="546"/>
      <c r="R584" s="206"/>
    </row>
    <row r="585" spans="1:18" ht="15">
      <c r="A585" s="424">
        <v>179227</v>
      </c>
      <c r="B585" t="str">
        <f t="shared" si="20"/>
        <v>SEVROLL Future II úchytová lišta 3,5m oliva</v>
      </c>
      <c r="C585" s="209">
        <f t="shared" si="21"/>
        <v>45.387830000000001</v>
      </c>
      <c r="D585" s="542" t="s">
        <v>3712</v>
      </c>
      <c r="E585" s="542" t="s">
        <v>1091</v>
      </c>
      <c r="F585" s="542" t="s">
        <v>3712</v>
      </c>
      <c r="G585" s="542" t="s">
        <v>1885</v>
      </c>
      <c r="H585" s="426">
        <v>1218.39616</v>
      </c>
      <c r="I585" s="425">
        <v>45.387830000000001</v>
      </c>
      <c r="J585" s="425">
        <v>174.39</v>
      </c>
      <c r="K585" s="425">
        <v>13804.77349</v>
      </c>
      <c r="L585" s="542" t="s">
        <v>622</v>
      </c>
      <c r="M585" s="423" t="s">
        <v>699</v>
      </c>
      <c r="N585" s="206">
        <v>838.18389999999999</v>
      </c>
      <c r="O585" s="546"/>
      <c r="R585" s="206"/>
    </row>
    <row r="586" spans="1:18" ht="15">
      <c r="A586" s="424">
        <v>216338</v>
      </c>
      <c r="B586" t="str">
        <f t="shared" si="20"/>
        <v>SEVROLL Simple horné vedenie 6m strieborná</v>
      </c>
      <c r="C586" s="209">
        <f t="shared" si="21"/>
        <v>53.433329999999998</v>
      </c>
      <c r="D586" s="542" t="s">
        <v>3053</v>
      </c>
      <c r="E586" s="542" t="s">
        <v>937</v>
      </c>
      <c r="F586" s="542" t="s">
        <v>3054</v>
      </c>
      <c r="G586" s="542" t="s">
        <v>2390</v>
      </c>
      <c r="H586" s="426">
        <v>1155.1733999999999</v>
      </c>
      <c r="I586" s="425">
        <v>53.433329999999998</v>
      </c>
      <c r="J586" s="425">
        <v>139.22</v>
      </c>
      <c r="K586" s="425">
        <v>12409.78177</v>
      </c>
      <c r="L586" s="542" t="s">
        <v>623</v>
      </c>
      <c r="M586" s="423" t="s">
        <v>699</v>
      </c>
      <c r="N586" s="206">
        <v>850.4298</v>
      </c>
      <c r="O586" s="546"/>
      <c r="R586" s="206"/>
    </row>
    <row r="587" spans="1:18" ht="15">
      <c r="A587" s="429">
        <v>134489</v>
      </c>
      <c r="B587" t="str">
        <f t="shared" si="20"/>
        <v>SEVROLL-SADA KOVANIA ZP-18 URSUS</v>
      </c>
      <c r="C587" s="209">
        <f t="shared" si="21"/>
        <v>42.350729999999999</v>
      </c>
      <c r="D587" s="542" t="s">
        <v>3177</v>
      </c>
      <c r="E587" s="542" t="s">
        <v>1305</v>
      </c>
      <c r="F587" s="542" t="s">
        <v>3178</v>
      </c>
      <c r="G587" s="542" t="s">
        <v>2797</v>
      </c>
      <c r="H587" s="426">
        <v>1229.3493599999999</v>
      </c>
      <c r="I587" s="425">
        <v>42.350729999999999</v>
      </c>
      <c r="J587" s="425">
        <v>141.58000000000001</v>
      </c>
      <c r="K587" s="425">
        <v>13820.90056</v>
      </c>
      <c r="L587" s="542" t="s">
        <v>622</v>
      </c>
      <c r="M587" s="430" t="s">
        <v>700</v>
      </c>
      <c r="N587" s="206">
        <v>851.29993999999999</v>
      </c>
      <c r="O587" s="546"/>
      <c r="R587" s="206"/>
    </row>
    <row r="588" spans="1:18" ht="15">
      <c r="A588" s="429">
        <v>214825</v>
      </c>
      <c r="B588" t="str">
        <f t="shared" si="20"/>
        <v>SEVROLL Exclusive sada kovania ZPE18</v>
      </c>
      <c r="C588" s="209">
        <f t="shared" si="21"/>
        <v>42.350729999999999</v>
      </c>
      <c r="D588" s="542" t="s">
        <v>3783</v>
      </c>
      <c r="E588" s="542" t="s">
        <v>2765</v>
      </c>
      <c r="F588" s="542" t="s">
        <v>3784</v>
      </c>
      <c r="G588" s="542" t="s">
        <v>2840</v>
      </c>
      <c r="H588" s="426">
        <v>1229.3493599999999</v>
      </c>
      <c r="I588" s="425">
        <v>42.350729999999999</v>
      </c>
      <c r="J588" s="425">
        <v>141.58000000000001</v>
      </c>
      <c r="K588" s="425">
        <v>13820.90056</v>
      </c>
      <c r="L588" s="542" t="s">
        <v>622</v>
      </c>
      <c r="M588" s="430" t="s">
        <v>699</v>
      </c>
      <c r="N588" s="206">
        <v>851.29993999999999</v>
      </c>
      <c r="O588" s="546"/>
      <c r="R588" s="206"/>
    </row>
    <row r="589" spans="1:18" ht="15">
      <c r="A589" s="424">
        <v>227321</v>
      </c>
      <c r="B589" t="str">
        <f t="shared" si="20"/>
        <v>SEVROLL Comfort horné vedenie 2,35m strieborná</v>
      </c>
      <c r="C589" s="209">
        <f t="shared" si="21"/>
        <v>44.54419</v>
      </c>
      <c r="D589" s="542" t="s">
        <v>4661</v>
      </c>
      <c r="E589" s="542" t="s">
        <v>1143</v>
      </c>
      <c r="F589" s="542" t="s">
        <v>4662</v>
      </c>
      <c r="G589" s="542" t="s">
        <v>1651</v>
      </c>
      <c r="H589" s="426">
        <v>1195.6224</v>
      </c>
      <c r="I589" s="425">
        <v>44.54419</v>
      </c>
      <c r="J589" s="425">
        <v>153.43</v>
      </c>
      <c r="K589" s="425">
        <v>13546.740330000001</v>
      </c>
      <c r="L589" s="542" t="s">
        <v>621</v>
      </c>
      <c r="M589" s="423" t="s">
        <v>699</v>
      </c>
      <c r="N589" s="206">
        <v>863.6626</v>
      </c>
      <c r="O589" s="546"/>
      <c r="R589" s="206"/>
    </row>
    <row r="590" spans="1:18" ht="15">
      <c r="A590" s="429">
        <v>89259</v>
      </c>
      <c r="B590" t="str">
        <f t="shared" si="20"/>
        <v>SEVROLL-KRYCÍ, HERKULES 2, OLIVA 2,4M</v>
      </c>
      <c r="C590" s="209" t="e">
        <f t="shared" si="21"/>
        <v>#N/A</v>
      </c>
      <c r="D590" s="542" t="s">
        <v>3973</v>
      </c>
      <c r="E590" s="542" t="s">
        <v>1298</v>
      </c>
      <c r="F590" s="542" t="s">
        <v>1297</v>
      </c>
      <c r="G590" s="542" t="s">
        <v>2852</v>
      </c>
      <c r="H590" s="426">
        <v>1195.6390799999999</v>
      </c>
      <c r="I590" s="425" t="e">
        <v>#N/A</v>
      </c>
      <c r="J590" s="425">
        <v>162.26985999999999</v>
      </c>
      <c r="K590" s="425">
        <v>13441.914360000001</v>
      </c>
      <c r="L590" s="542" t="s">
        <v>620</v>
      </c>
      <c r="M590" s="430" t="s">
        <v>699</v>
      </c>
      <c r="N590" s="206">
        <v>867.70749999999998</v>
      </c>
      <c r="O590" s="546"/>
      <c r="R590" s="206"/>
    </row>
    <row r="591" spans="1:18" ht="15">
      <c r="A591" s="424">
        <v>351578</v>
      </c>
      <c r="B591" t="str">
        <f t="shared" si="20"/>
        <v>SEVROLL Gemini spodné vedenie 6m biela lesk</v>
      </c>
      <c r="C591" s="209">
        <f t="shared" si="21"/>
        <v>44.03801</v>
      </c>
      <c r="D591" s="542" t="s">
        <v>3669</v>
      </c>
      <c r="E591" s="542" t="s">
        <v>3670</v>
      </c>
      <c r="F591" s="542" t="s">
        <v>3671</v>
      </c>
      <c r="G591" s="542" t="s">
        <v>84</v>
      </c>
      <c r="H591" s="426">
        <v>1268.92544</v>
      </c>
      <c r="I591" s="425">
        <v>44.03801</v>
      </c>
      <c r="J591" s="425">
        <v>151.59</v>
      </c>
      <c r="K591" s="425">
        <v>14377.284540000001</v>
      </c>
      <c r="L591" s="542" t="s">
        <v>622</v>
      </c>
      <c r="M591" s="423" t="s">
        <v>699</v>
      </c>
      <c r="N591" s="206">
        <v>873.46209999999996</v>
      </c>
      <c r="O591" s="546"/>
      <c r="R591" s="206"/>
    </row>
    <row r="592" spans="1:18" ht="15">
      <c r="A592" s="429">
        <v>351578</v>
      </c>
      <c r="B592" t="str">
        <f t="shared" si="20"/>
        <v>SEVROLL Gemini spodné vedenie 6m biela lesk</v>
      </c>
      <c r="C592" s="209">
        <f t="shared" si="21"/>
        <v>44.03801</v>
      </c>
      <c r="D592" s="542" t="s">
        <v>3669</v>
      </c>
      <c r="E592" s="542" t="s">
        <v>3670</v>
      </c>
      <c r="F592" s="542" t="s">
        <v>3671</v>
      </c>
      <c r="G592" s="542" t="s">
        <v>84</v>
      </c>
      <c r="H592" s="426">
        <v>1268.92544</v>
      </c>
      <c r="I592" s="425">
        <v>44.03801</v>
      </c>
      <c r="J592" s="425">
        <v>151.59</v>
      </c>
      <c r="K592" s="425">
        <v>14377.284540000001</v>
      </c>
      <c r="L592" s="542" t="s">
        <v>622</v>
      </c>
      <c r="M592" s="430" t="s">
        <v>699</v>
      </c>
      <c r="N592" s="206">
        <v>873.46209999999996</v>
      </c>
      <c r="O592" s="546"/>
      <c r="R592" s="206"/>
    </row>
    <row r="593" spans="1:18" ht="15">
      <c r="A593" s="427">
        <v>167748</v>
      </c>
      <c r="B593" t="str">
        <f t="shared" si="20"/>
        <v>ASTIN Twins úchyt.lišta na10mm 2,7m stříb.</v>
      </c>
      <c r="C593" s="209" t="e">
        <f t="shared" si="21"/>
        <v>#N/A</v>
      </c>
      <c r="D593" s="542" t="s">
        <v>3943</v>
      </c>
      <c r="E593" s="542" t="s">
        <v>972</v>
      </c>
      <c r="F593" s="542" t="s">
        <v>3944</v>
      </c>
      <c r="G593" s="542" t="s">
        <v>973</v>
      </c>
      <c r="H593" s="426">
        <v>912</v>
      </c>
      <c r="I593" s="425" t="e">
        <v>#N/A</v>
      </c>
      <c r="J593" s="425">
        <v>136.68687</v>
      </c>
      <c r="K593" s="425">
        <v>10976.61623</v>
      </c>
      <c r="L593" s="542" t="s">
        <v>622</v>
      </c>
      <c r="M593" s="428" t="s">
        <v>699</v>
      </c>
      <c r="N593" s="206">
        <v>874</v>
      </c>
      <c r="O593" s="546"/>
      <c r="R593" s="206"/>
    </row>
    <row r="594" spans="1:18" ht="15">
      <c r="A594" s="424">
        <v>238031</v>
      </c>
      <c r="B594" t="str">
        <f t="shared" si="20"/>
        <v>SEVROLL Maxim vod.lišta 4,3m oliva</v>
      </c>
      <c r="C594" s="209">
        <f t="shared" si="21"/>
        <v>44.35136</v>
      </c>
      <c r="D594" s="542" t="s">
        <v>3449</v>
      </c>
      <c r="E594" s="542" t="s">
        <v>1412</v>
      </c>
      <c r="F594" s="542" t="s">
        <v>3450</v>
      </c>
      <c r="G594" s="542" t="s">
        <v>2235</v>
      </c>
      <c r="H594" s="426">
        <v>1277.4656</v>
      </c>
      <c r="I594" s="425">
        <v>44.35136</v>
      </c>
      <c r="J594" s="425">
        <v>150.96</v>
      </c>
      <c r="K594" s="425">
        <v>14474.046969999999</v>
      </c>
      <c r="L594" s="542" t="s">
        <v>622</v>
      </c>
      <c r="M594" s="423" t="s">
        <v>699</v>
      </c>
      <c r="N594" s="206">
        <v>879.34180000000003</v>
      </c>
      <c r="O594" s="546"/>
      <c r="R594" s="206"/>
    </row>
    <row r="595" spans="1:18" ht="15">
      <c r="A595" s="424">
        <v>179224</v>
      </c>
      <c r="B595" t="str">
        <f t="shared" si="20"/>
        <v>SEVROLL-FUTURE II ÚCH.LIŠTA 3,5 M str.</v>
      </c>
      <c r="C595" s="209">
        <f t="shared" si="21"/>
        <v>42.278419999999997</v>
      </c>
      <c r="D595" s="542" t="s">
        <v>4573</v>
      </c>
      <c r="E595" s="542" t="s">
        <v>1090</v>
      </c>
      <c r="F595" s="542" t="s">
        <v>704</v>
      </c>
      <c r="G595" s="542" t="s">
        <v>1886</v>
      </c>
      <c r="H595" s="426">
        <v>1218.39616</v>
      </c>
      <c r="I595" s="425">
        <v>42.278419999999997</v>
      </c>
      <c r="J595" s="425">
        <v>158.52000000000001</v>
      </c>
      <c r="K595" s="425">
        <v>13804.77349</v>
      </c>
      <c r="L595" s="542" t="s">
        <v>621</v>
      </c>
      <c r="M595" s="423" t="s">
        <v>699</v>
      </c>
      <c r="N595" s="206">
        <v>879.99509999999998</v>
      </c>
      <c r="O595" s="546"/>
      <c r="R595" s="206"/>
    </row>
    <row r="596" spans="1:18" ht="15">
      <c r="A596" s="424">
        <v>102838</v>
      </c>
      <c r="B596" t="str">
        <f t="shared" si="20"/>
        <v>SEVROLL-HORNÉ VEDENIE MAXIM 3,5M STR.</v>
      </c>
      <c r="C596" s="209">
        <f t="shared" si="21"/>
        <v>42.953330000000001</v>
      </c>
      <c r="D596" s="542" t="s">
        <v>4394</v>
      </c>
      <c r="E596" s="542" t="s">
        <v>2164</v>
      </c>
      <c r="F596" s="542" t="s">
        <v>669</v>
      </c>
      <c r="G596" s="542" t="s">
        <v>2165</v>
      </c>
      <c r="H596" s="426">
        <v>1237.6115199999999</v>
      </c>
      <c r="I596" s="425">
        <v>42.953330000000001</v>
      </c>
      <c r="J596" s="425">
        <v>146.25</v>
      </c>
      <c r="K596" s="425">
        <v>14022.488950000001</v>
      </c>
      <c r="L596" s="542" t="s">
        <v>621</v>
      </c>
      <c r="M596" s="423" t="s">
        <v>699</v>
      </c>
      <c r="N596" s="206">
        <v>894.36770000000001</v>
      </c>
      <c r="O596" s="546"/>
      <c r="R596" s="206"/>
    </row>
    <row r="597" spans="1:18" ht="15">
      <c r="A597" s="424">
        <v>98113</v>
      </c>
      <c r="B597" t="str">
        <f t="shared" si="20"/>
        <v>SEVROLL-HOR.VEDENIE COMFORT 2,35 M OLIVA</v>
      </c>
      <c r="C597" s="209">
        <f t="shared" si="21"/>
        <v>48.955219999999997</v>
      </c>
      <c r="D597" s="542" t="s">
        <v>3883</v>
      </c>
      <c r="E597" s="542" t="s">
        <v>1119</v>
      </c>
      <c r="F597" s="542" t="s">
        <v>661</v>
      </c>
      <c r="G597" s="542" t="s">
        <v>1650</v>
      </c>
      <c r="H597" s="426">
        <v>1313.7612799999999</v>
      </c>
      <c r="I597" s="425">
        <v>48.955219999999997</v>
      </c>
      <c r="J597" s="425">
        <v>168.75</v>
      </c>
      <c r="K597" s="425">
        <v>14885.28728</v>
      </c>
      <c r="L597" s="542" t="s">
        <v>622</v>
      </c>
      <c r="M597" s="423" t="s">
        <v>699</v>
      </c>
      <c r="N597" s="206">
        <v>904.16719999999998</v>
      </c>
      <c r="O597" s="546"/>
      <c r="R597" s="206"/>
    </row>
    <row r="598" spans="1:18" ht="15">
      <c r="A598" s="424">
        <v>223554</v>
      </c>
      <c r="B598" t="str">
        <f t="shared" si="20"/>
        <v>SEVROLL horné vedenie Simple 6m oliva</v>
      </c>
      <c r="C598" s="209">
        <f t="shared" si="21"/>
        <v>60.708539999999999</v>
      </c>
      <c r="D598" s="542" t="s">
        <v>3340</v>
      </c>
      <c r="E598" s="542" t="s">
        <v>2388</v>
      </c>
      <c r="F598" s="542" t="s">
        <v>3341</v>
      </c>
      <c r="G598" s="542" t="s">
        <v>2389</v>
      </c>
      <c r="H598" s="426">
        <v>1312.0488</v>
      </c>
      <c r="I598" s="425">
        <v>60.708539999999999</v>
      </c>
      <c r="J598" s="425">
        <v>160.06</v>
      </c>
      <c r="K598" s="425">
        <v>14095.06077</v>
      </c>
      <c r="L598" s="542" t="s">
        <v>622</v>
      </c>
      <c r="M598" s="423" t="s">
        <v>699</v>
      </c>
      <c r="N598" s="206">
        <v>940.5018</v>
      </c>
      <c r="O598" s="546"/>
      <c r="R598" s="206"/>
    </row>
    <row r="599" spans="1:18" ht="15">
      <c r="A599" s="427">
        <v>248419</v>
      </c>
      <c r="B599" t="str">
        <f t="shared" si="20"/>
        <v>AST-Prestige vod.lišta 4m CE802TX</v>
      </c>
      <c r="C599" s="209" t="e">
        <f t="shared" si="21"/>
        <v>#N/A</v>
      </c>
      <c r="D599" s="542" t="s">
        <v>1336</v>
      </c>
      <c r="E599" s="542" t="s">
        <v>1337</v>
      </c>
      <c r="F599" s="542" t="s">
        <v>1336</v>
      </c>
      <c r="G599" s="542" t="s">
        <v>1338</v>
      </c>
      <c r="H599" s="426">
        <v>1036.12824</v>
      </c>
      <c r="I599" s="425" t="e">
        <v>#N/A</v>
      </c>
      <c r="J599" s="425">
        <v>155.29071999999999</v>
      </c>
      <c r="K599" s="425">
        <v>12470.594370000001</v>
      </c>
      <c r="L599" s="542" t="s">
        <v>622</v>
      </c>
      <c r="M599" s="428" t="s">
        <v>699</v>
      </c>
      <c r="N599" s="206">
        <v>945.67259999999999</v>
      </c>
      <c r="O599" s="546"/>
      <c r="R599" s="206"/>
    </row>
    <row r="600" spans="1:18" ht="15">
      <c r="A600" s="427">
        <v>157354</v>
      </c>
      <c r="B600" t="str">
        <f t="shared" si="20"/>
        <v>ASTIN LUNA úch.lišta 5,4m strieborná</v>
      </c>
      <c r="C600" s="209" t="e">
        <f t="shared" si="21"/>
        <v>#N/A</v>
      </c>
      <c r="D600" s="542" t="s">
        <v>3959</v>
      </c>
      <c r="E600" s="542" t="s">
        <v>644</v>
      </c>
      <c r="F600" s="542" t="s">
        <v>3960</v>
      </c>
      <c r="G600" s="542" t="s">
        <v>971</v>
      </c>
      <c r="H600" s="426">
        <v>1037.52936</v>
      </c>
      <c r="I600" s="425" t="e">
        <v>#N/A</v>
      </c>
      <c r="J600" s="425">
        <v>155.50069999999999</v>
      </c>
      <c r="K600" s="425">
        <v>12487.457909999999</v>
      </c>
      <c r="L600" s="542" t="s">
        <v>622</v>
      </c>
      <c r="M600" s="428" t="s">
        <v>699</v>
      </c>
      <c r="N600" s="206">
        <v>946.95140000000004</v>
      </c>
      <c r="O600" s="546"/>
      <c r="R600" s="206"/>
    </row>
    <row r="601" spans="1:18" ht="15">
      <c r="A601" s="424">
        <v>102830</v>
      </c>
      <c r="B601" t="str">
        <f t="shared" si="20"/>
        <v>SEVROLL Maxim spod.krycia lišta 3,5m strieborná</v>
      </c>
      <c r="C601" s="209">
        <f t="shared" si="21"/>
        <v>45.604770000000002</v>
      </c>
      <c r="D601" s="542" t="s">
        <v>4367</v>
      </c>
      <c r="E601" s="542" t="s">
        <v>1124</v>
      </c>
      <c r="F601" s="542" t="s">
        <v>4368</v>
      </c>
      <c r="G601" s="542" t="s">
        <v>2209</v>
      </c>
      <c r="H601" s="426">
        <v>1313.0496000000001</v>
      </c>
      <c r="I601" s="425">
        <v>45.604770000000002</v>
      </c>
      <c r="J601" s="425">
        <v>155.16999999999999</v>
      </c>
      <c r="K601" s="425">
        <v>14877.223770000001</v>
      </c>
      <c r="L601" s="542" t="s">
        <v>621</v>
      </c>
      <c r="M601" s="423" t="s">
        <v>699</v>
      </c>
      <c r="N601" s="206">
        <v>948.59159999999997</v>
      </c>
      <c r="O601" s="546"/>
      <c r="R601" s="206"/>
    </row>
    <row r="602" spans="1:18" ht="15">
      <c r="A602" s="427">
        <v>248458</v>
      </c>
      <c r="B602" t="str">
        <f t="shared" si="20"/>
        <v>AST-Prestige spod.vedení 4m CE802TX</v>
      </c>
      <c r="C602" s="209" t="e">
        <f t="shared" si="21"/>
        <v>#N/A</v>
      </c>
      <c r="D602" s="542" t="s">
        <v>1344</v>
      </c>
      <c r="E602" s="542" t="s">
        <v>1345</v>
      </c>
      <c r="F602" s="542" t="s">
        <v>1344</v>
      </c>
      <c r="G602" s="542" t="s">
        <v>1346</v>
      </c>
      <c r="H602" s="426">
        <v>1052.9416799999999</v>
      </c>
      <c r="I602" s="425" t="e">
        <v>#N/A</v>
      </c>
      <c r="J602" s="425">
        <v>157.81065000000001</v>
      </c>
      <c r="K602" s="425">
        <v>12672.95694</v>
      </c>
      <c r="L602" s="542" t="s">
        <v>622</v>
      </c>
      <c r="M602" s="428" t="s">
        <v>699</v>
      </c>
      <c r="N602" s="206">
        <v>961.01819999999998</v>
      </c>
      <c r="O602" s="546"/>
      <c r="R602" s="206"/>
    </row>
    <row r="603" spans="1:18" ht="15">
      <c r="A603" s="424">
        <v>134933</v>
      </c>
      <c r="B603" t="str">
        <f t="shared" si="20"/>
        <v>SEVROLL Gemini horné vedenie 6m strieborná</v>
      </c>
      <c r="C603" s="209">
        <f t="shared" si="21"/>
        <v>56.59619</v>
      </c>
      <c r="D603" s="542" t="s">
        <v>4542</v>
      </c>
      <c r="E603" s="542" t="s">
        <v>1958</v>
      </c>
      <c r="F603" s="542" t="s">
        <v>4543</v>
      </c>
      <c r="G603" s="542" t="s">
        <v>1959</v>
      </c>
      <c r="H603" s="426">
        <v>1453.25056</v>
      </c>
      <c r="I603" s="425">
        <v>56.59619</v>
      </c>
      <c r="J603" s="425">
        <v>188.29</v>
      </c>
      <c r="K603" s="425">
        <v>16465.740330000001</v>
      </c>
      <c r="L603" s="542" t="s">
        <v>621</v>
      </c>
      <c r="M603" s="423" t="s">
        <v>699</v>
      </c>
      <c r="N603" s="206">
        <v>962.96420000000001</v>
      </c>
      <c r="O603" s="546"/>
      <c r="R603" s="206"/>
    </row>
    <row r="604" spans="1:18" ht="15">
      <c r="A604" s="424">
        <v>349807</v>
      </c>
      <c r="B604" t="str">
        <f t="shared" ref="B604:B667" si="22">IF($A$2=1,D604,IF($A$2=2,F604,IF($A$2=3,G604,IF($A$2=4,E604,"zadat jazyk"))))</f>
        <v/>
      </c>
      <c r="C604" s="209">
        <f t="shared" si="21"/>
        <v>57.738509999999998</v>
      </c>
      <c r="D604" s="542" t="s">
        <v>3916</v>
      </c>
      <c r="E604" s="542" t="s">
        <v>1596</v>
      </c>
      <c r="F604" s="542" t="s">
        <v>84</v>
      </c>
      <c r="G604" s="542" t="s">
        <v>84</v>
      </c>
      <c r="H604" s="426">
        <v>1286.5283999999999</v>
      </c>
      <c r="I604" s="425">
        <v>57.738509999999998</v>
      </c>
      <c r="J604" s="425">
        <v>144.15</v>
      </c>
      <c r="K604" s="425">
        <v>13820.90056</v>
      </c>
      <c r="L604" s="542" t="s">
        <v>621</v>
      </c>
      <c r="M604" s="423" t="s">
        <v>699</v>
      </c>
      <c r="N604" s="206">
        <v>968.274</v>
      </c>
      <c r="O604" s="546"/>
      <c r="R604" s="206"/>
    </row>
    <row r="605" spans="1:18" ht="15">
      <c r="A605" s="424">
        <v>304006</v>
      </c>
      <c r="B605" t="str">
        <f t="shared" si="22"/>
        <v>SEVROLL bezp.fólie 300mm/50m transparentne</v>
      </c>
      <c r="C605" s="209">
        <f t="shared" si="21"/>
        <v>44.905749999999998</v>
      </c>
      <c r="D605" s="542" t="s">
        <v>3924</v>
      </c>
      <c r="E605" s="542" t="s">
        <v>1581</v>
      </c>
      <c r="F605" s="542" t="s">
        <v>3925</v>
      </c>
      <c r="G605" s="542" t="s">
        <v>1582</v>
      </c>
      <c r="H605" s="426">
        <v>1293.12256</v>
      </c>
      <c r="I605" s="425">
        <v>44.905749999999998</v>
      </c>
      <c r="J605" s="425">
        <v>152.81</v>
      </c>
      <c r="K605" s="425">
        <v>14651.444750000001</v>
      </c>
      <c r="L605" s="542" t="s">
        <v>622</v>
      </c>
      <c r="M605" s="423" t="s">
        <v>699</v>
      </c>
      <c r="N605" s="206">
        <v>978.64340000000004</v>
      </c>
      <c r="O605" s="546"/>
      <c r="R605" s="206"/>
    </row>
    <row r="606" spans="1:18" ht="15">
      <c r="A606" s="424">
        <v>299759</v>
      </c>
      <c r="B606" t="str">
        <f t="shared" si="22"/>
        <v>SEVROLL Idea horné/spodné vedenie 6m str.</v>
      </c>
      <c r="C606" s="209">
        <f t="shared" si="21"/>
        <v>47.002800000000001</v>
      </c>
      <c r="D606" s="542" t="s">
        <v>3563</v>
      </c>
      <c r="E606" s="542" t="s">
        <v>2050</v>
      </c>
      <c r="F606" s="542" t="s">
        <v>3564</v>
      </c>
      <c r="G606" s="542" t="s">
        <v>2051</v>
      </c>
      <c r="H606" s="426">
        <v>1354.3270399999999</v>
      </c>
      <c r="I606" s="425">
        <v>47.002800000000001</v>
      </c>
      <c r="J606" s="425">
        <v>160.36000000000001</v>
      </c>
      <c r="K606" s="425">
        <v>15344.90885</v>
      </c>
      <c r="L606" s="542" t="s">
        <v>622</v>
      </c>
      <c r="M606" s="423" t="s">
        <v>699</v>
      </c>
      <c r="N606" s="206">
        <v>978.64340000000004</v>
      </c>
      <c r="O606" s="546"/>
      <c r="R606" s="206"/>
    </row>
    <row r="607" spans="1:18" ht="15">
      <c r="A607" s="427">
        <v>195452</v>
      </c>
      <c r="B607" t="str">
        <f t="shared" si="22"/>
        <v>ASTIN spodné vedenie 5,4m oliva lak.</v>
      </c>
      <c r="C607" s="209" t="e">
        <f t="shared" si="21"/>
        <v>#N/A</v>
      </c>
      <c r="D607" s="542" t="s">
        <v>3951</v>
      </c>
      <c r="E607" s="542" t="s">
        <v>804</v>
      </c>
      <c r="F607" s="542" t="s">
        <v>3952</v>
      </c>
      <c r="G607" s="542" t="s">
        <v>805</v>
      </c>
      <c r="H607" s="426">
        <v>1072.9076399999999</v>
      </c>
      <c r="I607" s="425" t="e">
        <v>#N/A</v>
      </c>
      <c r="J607" s="425">
        <v>160.80305999999999</v>
      </c>
      <c r="K607" s="425">
        <v>12913.26252</v>
      </c>
      <c r="L607" s="542" t="s">
        <v>622</v>
      </c>
      <c r="M607" s="428" t="s">
        <v>699</v>
      </c>
      <c r="N607" s="206">
        <v>979.24109999999996</v>
      </c>
      <c r="O607" s="546"/>
      <c r="R607" s="206"/>
    </row>
    <row r="608" spans="1:18" ht="15">
      <c r="A608" s="424">
        <v>100968</v>
      </c>
      <c r="B608" t="str">
        <f t="shared" si="22"/>
        <v>SEVROLL Maxim sada kov. pre 3 dv. 2,5m strč</v>
      </c>
      <c r="C608" s="209">
        <f t="shared" si="21"/>
        <v>49.119030000000002</v>
      </c>
      <c r="D608" s="542" t="s">
        <v>4375</v>
      </c>
      <c r="E608" s="542" t="s">
        <v>2197</v>
      </c>
      <c r="F608" s="542" t="s">
        <v>4376</v>
      </c>
      <c r="G608" s="542" t="s">
        <v>2198</v>
      </c>
      <c r="H608" s="426">
        <v>1258.2502400000001</v>
      </c>
      <c r="I608" s="425">
        <v>49.119030000000002</v>
      </c>
      <c r="J608" s="425">
        <v>148.69</v>
      </c>
      <c r="K608" s="425">
        <v>14256.33149</v>
      </c>
      <c r="L608" s="542" t="s">
        <v>621</v>
      </c>
      <c r="M608" s="423" t="s">
        <v>699</v>
      </c>
      <c r="N608" s="206">
        <v>999.54899999999998</v>
      </c>
      <c r="O608" s="546"/>
      <c r="R608" s="206"/>
    </row>
    <row r="609" spans="1:18" ht="15">
      <c r="A609" s="429">
        <v>223514</v>
      </c>
      <c r="B609" t="str">
        <f t="shared" si="22"/>
        <v>SEVROLL Herkules sada kovania60kg, 1,2m</v>
      </c>
      <c r="C609" s="209">
        <f t="shared" si="21"/>
        <v>63.056060000000002</v>
      </c>
      <c r="D609" s="542" t="s">
        <v>3630</v>
      </c>
      <c r="E609" s="542" t="s">
        <v>1308</v>
      </c>
      <c r="F609" s="542" t="s">
        <v>3631</v>
      </c>
      <c r="G609" s="542" t="s">
        <v>2822</v>
      </c>
      <c r="H609" s="426">
        <v>1592.2728</v>
      </c>
      <c r="I609" s="425">
        <v>63.056060000000002</v>
      </c>
      <c r="J609" s="425">
        <v>183.37</v>
      </c>
      <c r="K609" s="425">
        <v>17901.049719999999</v>
      </c>
      <c r="L609" s="542" t="s">
        <v>622</v>
      </c>
      <c r="M609" s="430" t="s">
        <v>700</v>
      </c>
      <c r="N609" s="206">
        <v>1001.49222</v>
      </c>
      <c r="O609" s="546"/>
      <c r="R609" s="206"/>
    </row>
    <row r="610" spans="1:18" ht="15">
      <c r="A610" s="424">
        <v>349806</v>
      </c>
      <c r="B610" t="str">
        <f t="shared" si="22"/>
        <v/>
      </c>
      <c r="C610" s="209">
        <f t="shared" si="21"/>
        <v>63.787570000000002</v>
      </c>
      <c r="D610" s="542" t="s">
        <v>3917</v>
      </c>
      <c r="E610" s="542" t="s">
        <v>1595</v>
      </c>
      <c r="F610" s="542" t="s">
        <v>84</v>
      </c>
      <c r="G610" s="542" t="s">
        <v>84</v>
      </c>
      <c r="H610" s="426">
        <v>1420.8858</v>
      </c>
      <c r="I610" s="425">
        <v>63.787570000000002</v>
      </c>
      <c r="J610" s="425">
        <v>163.35</v>
      </c>
      <c r="K610" s="425">
        <v>15264.27349</v>
      </c>
      <c r="L610" s="542" t="s">
        <v>621</v>
      </c>
      <c r="M610" s="423" t="s">
        <v>699</v>
      </c>
      <c r="N610" s="206">
        <v>1018.5642</v>
      </c>
      <c r="O610" s="546"/>
      <c r="R610" s="206"/>
    </row>
    <row r="611" spans="1:18" ht="15">
      <c r="A611" s="424">
        <v>318663</v>
      </c>
      <c r="B611" t="str">
        <f t="shared" si="22"/>
        <v>SEVROLL tlmič Central 10/18mm obojst. 25 kg</v>
      </c>
      <c r="C611" s="209">
        <f t="shared" si="21"/>
        <v>47.918750000000003</v>
      </c>
      <c r="D611" s="542" t="s">
        <v>4168</v>
      </c>
      <c r="E611" s="542" t="s">
        <v>2560</v>
      </c>
      <c r="F611" s="542" t="s">
        <v>4169</v>
      </c>
      <c r="G611" s="542" t="s">
        <v>1531</v>
      </c>
      <c r="H611" s="426">
        <v>1286.00576</v>
      </c>
      <c r="I611" s="425">
        <v>47.918750000000003</v>
      </c>
      <c r="J611" s="425">
        <v>212.11</v>
      </c>
      <c r="K611" s="425">
        <v>14570.80939</v>
      </c>
      <c r="L611" s="542" t="s">
        <v>621</v>
      </c>
      <c r="M611" s="423" t="s">
        <v>699</v>
      </c>
      <c r="N611" s="206">
        <v>1022.4145</v>
      </c>
      <c r="O611" s="546"/>
      <c r="R611" s="206"/>
    </row>
    <row r="612" spans="1:18" ht="15">
      <c r="A612" s="424">
        <v>283955</v>
      </c>
      <c r="B612" t="str">
        <f t="shared" si="22"/>
        <v>SEVROLL tlmič Central 10/18mm obojst.25-40kg</v>
      </c>
      <c r="C612" s="209">
        <f t="shared" si="21"/>
        <v>47.918750000000003</v>
      </c>
      <c r="D612" s="542" t="s">
        <v>4170</v>
      </c>
      <c r="E612" s="542" t="s">
        <v>2561</v>
      </c>
      <c r="F612" s="542" t="s">
        <v>4171</v>
      </c>
      <c r="G612" s="542" t="s">
        <v>2562</v>
      </c>
      <c r="H612" s="426">
        <v>1286.00576</v>
      </c>
      <c r="I612" s="425">
        <v>47.918750000000003</v>
      </c>
      <c r="J612" s="425">
        <v>212.11</v>
      </c>
      <c r="K612" s="425">
        <v>14570.80939</v>
      </c>
      <c r="L612" s="542" t="s">
        <v>621</v>
      </c>
      <c r="M612" s="423" t="s">
        <v>699</v>
      </c>
      <c r="N612" s="206">
        <v>1022.4145</v>
      </c>
      <c r="O612" s="546"/>
      <c r="R612" s="206"/>
    </row>
    <row r="613" spans="1:18" ht="15">
      <c r="A613" s="424">
        <v>284973</v>
      </c>
      <c r="B613" t="str">
        <f t="shared" si="22"/>
        <v>SEVROLL Maxim horné vedenie 3,5m oliva</v>
      </c>
      <c r="C613" s="209">
        <f t="shared" si="21"/>
        <v>49.461410000000001</v>
      </c>
      <c r="D613" s="542" t="s">
        <v>3496</v>
      </c>
      <c r="E613" s="542" t="s">
        <v>2162</v>
      </c>
      <c r="F613" s="542" t="s">
        <v>3497</v>
      </c>
      <c r="G613" s="542" t="s">
        <v>2163</v>
      </c>
      <c r="H613" s="426">
        <v>1424.7833599999999</v>
      </c>
      <c r="I613" s="425">
        <v>49.461410000000001</v>
      </c>
      <c r="J613" s="425">
        <v>168.37</v>
      </c>
      <c r="K613" s="425">
        <v>16143.198899999999</v>
      </c>
      <c r="L613" s="542" t="s">
        <v>622</v>
      </c>
      <c r="M613" s="423" t="s">
        <v>699</v>
      </c>
      <c r="N613" s="206">
        <v>1028.9475</v>
      </c>
      <c r="O613" s="546"/>
      <c r="R613" s="206"/>
    </row>
    <row r="614" spans="1:18" ht="15">
      <c r="A614" s="424">
        <v>163110</v>
      </c>
      <c r="B614" t="str">
        <f t="shared" si="22"/>
        <v>SEVROLL Doubler II spodné vedenie 6m striebo</v>
      </c>
      <c r="C614" s="209">
        <f t="shared" si="21"/>
        <v>55.94538</v>
      </c>
      <c r="D614" s="542" t="s">
        <v>3838</v>
      </c>
      <c r="E614" s="542" t="s">
        <v>1711</v>
      </c>
      <c r="F614" s="542" t="s">
        <v>3839</v>
      </c>
      <c r="G614" s="542" t="s">
        <v>1712</v>
      </c>
      <c r="H614" s="426">
        <v>1501.6448</v>
      </c>
      <c r="I614" s="425">
        <v>55.94538</v>
      </c>
      <c r="J614" s="425">
        <v>192.95</v>
      </c>
      <c r="K614" s="425">
        <v>17014.06077</v>
      </c>
      <c r="L614" s="542" t="s">
        <v>622</v>
      </c>
      <c r="M614" s="423" t="s">
        <v>699</v>
      </c>
      <c r="N614" s="206">
        <v>1033.5206000000001</v>
      </c>
      <c r="O614" s="546"/>
      <c r="R614" s="206"/>
    </row>
    <row r="615" spans="1:18" ht="15">
      <c r="A615" s="424">
        <v>232989</v>
      </c>
      <c r="B615" t="str">
        <f t="shared" si="22"/>
        <v>SEVROLL Optima sada tlmičov P+L</v>
      </c>
      <c r="C615" s="209">
        <f t="shared" si="21"/>
        <v>51.944119999999998</v>
      </c>
      <c r="D615" s="542" t="s">
        <v>3419</v>
      </c>
      <c r="E615" s="542" t="s">
        <v>1402</v>
      </c>
      <c r="F615" s="542" t="s">
        <v>3420</v>
      </c>
      <c r="G615" s="542" t="s">
        <v>2279</v>
      </c>
      <c r="H615" s="426">
        <v>1394.18112</v>
      </c>
      <c r="I615" s="425">
        <v>51.944119999999998</v>
      </c>
      <c r="J615" s="425">
        <v>203.67</v>
      </c>
      <c r="K615" s="425">
        <v>15796.466850000001</v>
      </c>
      <c r="L615" s="542" t="s">
        <v>622</v>
      </c>
      <c r="M615" s="423" t="s">
        <v>703</v>
      </c>
      <c r="N615" s="206">
        <v>1055.0795000000001</v>
      </c>
      <c r="O615" s="546"/>
      <c r="R615" s="206"/>
    </row>
    <row r="616" spans="1:18" ht="15">
      <c r="A616" s="429">
        <v>223511</v>
      </c>
      <c r="B616" t="str">
        <f t="shared" si="22"/>
        <v>SEVROLL horné vedenie Herkules 2 4m alu</v>
      </c>
      <c r="C616" s="209">
        <f t="shared" si="21"/>
        <v>69.877499999999998</v>
      </c>
      <c r="D616" s="542" t="s">
        <v>3655</v>
      </c>
      <c r="E616" s="542" t="s">
        <v>2759</v>
      </c>
      <c r="F616" s="542" t="s">
        <v>3656</v>
      </c>
      <c r="G616" s="542" t="s">
        <v>2834</v>
      </c>
      <c r="H616" s="426">
        <v>1704.1622400000001</v>
      </c>
      <c r="I616" s="425">
        <v>69.877499999999998</v>
      </c>
      <c r="J616" s="425">
        <v>199.75</v>
      </c>
      <c r="K616" s="425">
        <v>19158.961329999998</v>
      </c>
      <c r="L616" s="542" t="s">
        <v>622</v>
      </c>
      <c r="M616" s="430" t="s">
        <v>699</v>
      </c>
      <c r="N616" s="206">
        <v>1062.7050400000001</v>
      </c>
      <c r="O616" s="546"/>
      <c r="R616" s="206"/>
    </row>
    <row r="617" spans="1:18" ht="15">
      <c r="A617" s="424">
        <v>180419</v>
      </c>
      <c r="B617" t="str">
        <f t="shared" si="22"/>
        <v>SEVROLL-MAXIM VOD.LIŠTA 6 M STRIERBOR.</v>
      </c>
      <c r="C617" s="209">
        <f t="shared" si="21"/>
        <v>53.872439999999997</v>
      </c>
      <c r="D617" s="542" t="s">
        <v>3448</v>
      </c>
      <c r="E617" s="542" t="s">
        <v>2238</v>
      </c>
      <c r="F617" s="542" t="s">
        <v>709</v>
      </c>
      <c r="G617" s="542" t="s">
        <v>2239</v>
      </c>
      <c r="H617" s="426">
        <v>1552.17408</v>
      </c>
      <c r="I617" s="425">
        <v>53.872439999999997</v>
      </c>
      <c r="J617" s="425">
        <v>183.43</v>
      </c>
      <c r="K617" s="425">
        <v>17586.571820000001</v>
      </c>
      <c r="L617" s="542" t="s">
        <v>622</v>
      </c>
      <c r="M617" s="423" t="s">
        <v>699</v>
      </c>
      <c r="N617" s="206">
        <v>1068.1455000000001</v>
      </c>
      <c r="O617" s="546"/>
      <c r="R617" s="206"/>
    </row>
    <row r="618" spans="1:18" ht="15">
      <c r="A618" s="427">
        <v>248829</v>
      </c>
      <c r="B618" t="str">
        <f t="shared" si="22"/>
        <v>ASTIN Heros úch.lišta 5,4m strieborná</v>
      </c>
      <c r="C618" s="209" t="e">
        <f t="shared" si="21"/>
        <v>#N/A</v>
      </c>
      <c r="D618" s="542" t="s">
        <v>3969</v>
      </c>
      <c r="E618" s="542" t="s">
        <v>1351</v>
      </c>
      <c r="F618" s="542" t="s">
        <v>3970</v>
      </c>
      <c r="G618" s="542" t="s">
        <v>1352</v>
      </c>
      <c r="H618" s="426">
        <v>1180.4436000000001</v>
      </c>
      <c r="I618" s="425" t="e">
        <v>#N/A</v>
      </c>
      <c r="J618" s="425">
        <v>176.92010999999999</v>
      </c>
      <c r="K618" s="425">
        <v>14207.5399</v>
      </c>
      <c r="L618" s="542" t="s">
        <v>622</v>
      </c>
      <c r="M618" s="428" t="s">
        <v>699</v>
      </c>
      <c r="N618" s="206">
        <v>1077.3889999999999</v>
      </c>
      <c r="O618" s="546"/>
      <c r="R618" s="206"/>
    </row>
    <row r="619" spans="1:18" ht="15">
      <c r="A619" s="429">
        <v>223516</v>
      </c>
      <c r="B619" t="str">
        <f t="shared" si="22"/>
        <v>SEVROLL Herkules sada kovania60kg, 1,5m</v>
      </c>
      <c r="C619" s="209">
        <f t="shared" si="21"/>
        <v>68.913340000000005</v>
      </c>
      <c r="D619" s="542" t="s">
        <v>3628</v>
      </c>
      <c r="E619" s="542" t="s">
        <v>1310</v>
      </c>
      <c r="F619" s="542" t="s">
        <v>3629</v>
      </c>
      <c r="G619" s="542" t="s">
        <v>2821</v>
      </c>
      <c r="H619" s="426">
        <v>1740.7414799999999</v>
      </c>
      <c r="I619" s="425">
        <v>68.913340000000005</v>
      </c>
      <c r="J619" s="425">
        <v>200.47</v>
      </c>
      <c r="K619" s="425">
        <v>19570.201669999999</v>
      </c>
      <c r="L619" s="542" t="s">
        <v>622</v>
      </c>
      <c r="M619" s="430" t="s">
        <v>700</v>
      </c>
      <c r="N619" s="206">
        <v>1086.68532</v>
      </c>
      <c r="O619" s="546"/>
      <c r="R619" s="206"/>
    </row>
    <row r="620" spans="1:18" ht="15">
      <c r="A620" s="424">
        <v>284971</v>
      </c>
      <c r="B620" t="str">
        <f t="shared" si="22"/>
        <v>SEVROLL Maxim spod.krycia lišta 3,5m oliva</v>
      </c>
      <c r="C620" s="209">
        <f t="shared" si="21"/>
        <v>52.426200000000001</v>
      </c>
      <c r="D620" s="542" t="s">
        <v>3471</v>
      </c>
      <c r="E620" s="542" t="s">
        <v>2207</v>
      </c>
      <c r="F620" s="542" t="s">
        <v>3472</v>
      </c>
      <c r="G620" s="542" t="s">
        <v>2208</v>
      </c>
      <c r="H620" s="426">
        <v>1510.18496</v>
      </c>
      <c r="I620" s="425">
        <v>52.426200000000001</v>
      </c>
      <c r="J620" s="425">
        <v>178.46</v>
      </c>
      <c r="K620" s="425">
        <v>17110.823209999999</v>
      </c>
      <c r="L620" s="542" t="s">
        <v>622</v>
      </c>
      <c r="M620" s="423" t="s">
        <v>699</v>
      </c>
      <c r="N620" s="206">
        <v>1091.011</v>
      </c>
      <c r="O620" s="546"/>
      <c r="R620" s="206"/>
    </row>
    <row r="621" spans="1:18" ht="15">
      <c r="A621" s="424">
        <v>102839</v>
      </c>
      <c r="B621" t="str">
        <f t="shared" si="22"/>
        <v>SEVROLL-HORNÉ VEDENIE MAXIM 4,3M STR.</v>
      </c>
      <c r="C621" s="209">
        <f t="shared" si="21"/>
        <v>52.86007</v>
      </c>
      <c r="D621" s="542" t="s">
        <v>4393</v>
      </c>
      <c r="E621" s="542" t="s">
        <v>2167</v>
      </c>
      <c r="F621" s="542" t="s">
        <v>670</v>
      </c>
      <c r="G621" s="542" t="s">
        <v>2168</v>
      </c>
      <c r="H621" s="426">
        <v>1522.9952000000001</v>
      </c>
      <c r="I621" s="425">
        <v>52.86007</v>
      </c>
      <c r="J621" s="425">
        <v>179.98</v>
      </c>
      <c r="K621" s="425">
        <v>17255.966850000001</v>
      </c>
      <c r="L621" s="542" t="s">
        <v>621</v>
      </c>
      <c r="M621" s="423" t="s">
        <v>699</v>
      </c>
      <c r="N621" s="206">
        <v>1100.1572000000001</v>
      </c>
      <c r="O621" s="546"/>
      <c r="R621" s="206"/>
    </row>
    <row r="622" spans="1:18" ht="15">
      <c r="A622" s="424">
        <v>227324</v>
      </c>
      <c r="B622" t="str">
        <f t="shared" si="22"/>
        <v>SEVROLL Comfort horné vedenie 3m strieborné</v>
      </c>
      <c r="C622" s="209">
        <f t="shared" si="21"/>
        <v>56.837229999999998</v>
      </c>
      <c r="D622" s="542" t="s">
        <v>4659</v>
      </c>
      <c r="E622" s="542" t="s">
        <v>1144</v>
      </c>
      <c r="F622" s="542" t="s">
        <v>4660</v>
      </c>
      <c r="G622" s="542" t="s">
        <v>1653</v>
      </c>
      <c r="H622" s="426">
        <v>1525.8419200000001</v>
      </c>
      <c r="I622" s="425">
        <v>56.837229999999998</v>
      </c>
      <c r="J622" s="425">
        <v>195.87</v>
      </c>
      <c r="K622" s="425">
        <v>17288.221000000001</v>
      </c>
      <c r="L622" s="542" t="s">
        <v>621</v>
      </c>
      <c r="M622" s="423" t="s">
        <v>699</v>
      </c>
      <c r="N622" s="206">
        <v>1102.1170999999999</v>
      </c>
      <c r="O622" s="546"/>
      <c r="R622" s="206"/>
    </row>
    <row r="623" spans="1:18" ht="15">
      <c r="A623" s="427">
        <v>195455</v>
      </c>
      <c r="B623" t="str">
        <f t="shared" si="22"/>
        <v>ASTIN vodiaca lišta 5,4m oliva lak.</v>
      </c>
      <c r="C623" s="209" t="e">
        <f t="shared" si="21"/>
        <v>#N/A</v>
      </c>
      <c r="D623" s="542" t="s">
        <v>3941</v>
      </c>
      <c r="E623" s="542" t="s">
        <v>807</v>
      </c>
      <c r="F623" s="542" t="s">
        <v>3942</v>
      </c>
      <c r="G623" s="542" t="s">
        <v>808</v>
      </c>
      <c r="H623" s="426">
        <v>1216.8727200000001</v>
      </c>
      <c r="I623" s="425" t="e">
        <v>#N/A</v>
      </c>
      <c r="J623" s="425">
        <v>182.37995000000001</v>
      </c>
      <c r="K623" s="425">
        <v>14645.99216</v>
      </c>
      <c r="L623" s="542" t="s">
        <v>622</v>
      </c>
      <c r="M623" s="428" t="s">
        <v>699</v>
      </c>
      <c r="N623" s="206">
        <v>1110.6378</v>
      </c>
      <c r="O623" s="546"/>
      <c r="R623" s="206"/>
    </row>
    <row r="624" spans="1:18" ht="15">
      <c r="A624" s="424">
        <v>134935</v>
      </c>
      <c r="B624" t="str">
        <f t="shared" si="22"/>
        <v>SEVROLL Gemini horné vedenie 6m zlatá</v>
      </c>
      <c r="C624" s="209">
        <f t="shared" si="21"/>
        <v>66.020859999999999</v>
      </c>
      <c r="D624" s="542" t="s">
        <v>3684</v>
      </c>
      <c r="E624" s="542" t="s">
        <v>1960</v>
      </c>
      <c r="F624" s="542" t="s">
        <v>3685</v>
      </c>
      <c r="G624" s="542" t="s">
        <v>1961</v>
      </c>
      <c r="H624" s="426">
        <v>1695.2217599999999</v>
      </c>
      <c r="I624" s="425">
        <v>66.020859999999999</v>
      </c>
      <c r="J624" s="425">
        <v>219.02</v>
      </c>
      <c r="K624" s="425">
        <v>19207.342540000001</v>
      </c>
      <c r="L624" s="542" t="s">
        <v>622</v>
      </c>
      <c r="M624" s="423" t="s">
        <v>699</v>
      </c>
      <c r="N624" s="206">
        <v>1115.8363999999999</v>
      </c>
      <c r="O624" s="546"/>
      <c r="R624" s="206"/>
    </row>
    <row r="625" spans="1:18" ht="15">
      <c r="A625" s="424">
        <v>163115</v>
      </c>
      <c r="B625" t="str">
        <f t="shared" si="22"/>
        <v>SEVROLL-SPOD.VED. DOUBLER II 6M OLIVA</v>
      </c>
      <c r="C625" s="209">
        <f t="shared" si="21"/>
        <v>61.585720000000002</v>
      </c>
      <c r="D625" s="542" t="s">
        <v>3840</v>
      </c>
      <c r="E625" s="542" t="s">
        <v>1709</v>
      </c>
      <c r="F625" s="542" t="s">
        <v>678</v>
      </c>
      <c r="G625" s="542" t="s">
        <v>1710</v>
      </c>
      <c r="H625" s="426">
        <v>1653.2326399999999</v>
      </c>
      <c r="I625" s="425">
        <v>61.585720000000002</v>
      </c>
      <c r="J625" s="425">
        <v>212.22</v>
      </c>
      <c r="K625" s="425">
        <v>18731.593919999999</v>
      </c>
      <c r="L625" s="542" t="s">
        <v>622</v>
      </c>
      <c r="M625" s="423" t="s">
        <v>699</v>
      </c>
      <c r="N625" s="206">
        <v>1137.3952999999999</v>
      </c>
      <c r="O625" s="546"/>
      <c r="R625" s="206"/>
    </row>
    <row r="626" spans="1:18" ht="15">
      <c r="A626" s="429">
        <v>223515</v>
      </c>
      <c r="B626" t="str">
        <f t="shared" si="22"/>
        <v>SEVROLL Herkules sada kovania120kg, 1,2m</v>
      </c>
      <c r="C626" s="209">
        <f t="shared" si="21"/>
        <v>72.625349999999997</v>
      </c>
      <c r="D626" s="542" t="s">
        <v>3644</v>
      </c>
      <c r="E626" s="542" t="s">
        <v>1309</v>
      </c>
      <c r="F626" s="542" t="s">
        <v>3645</v>
      </c>
      <c r="G626" s="542" t="s">
        <v>2829</v>
      </c>
      <c r="H626" s="426">
        <v>1834.69992</v>
      </c>
      <c r="I626" s="425">
        <v>72.625349999999997</v>
      </c>
      <c r="J626" s="425">
        <v>211.29</v>
      </c>
      <c r="K626" s="425">
        <v>20626.524870000001</v>
      </c>
      <c r="L626" s="542" t="s">
        <v>622</v>
      </c>
      <c r="M626" s="430" t="s">
        <v>700</v>
      </c>
      <c r="N626" s="206">
        <v>1148.5291999999999</v>
      </c>
      <c r="O626" s="546"/>
      <c r="R626" s="206"/>
    </row>
    <row r="627" spans="1:18" ht="15">
      <c r="A627" s="424">
        <v>279077</v>
      </c>
      <c r="B627" t="str">
        <f t="shared" si="22"/>
        <v>SEVROLL Single horné vedenie 6m strieb</v>
      </c>
      <c r="C627" s="209">
        <f t="shared" si="21"/>
        <v>58.162950000000002</v>
      </c>
      <c r="D627" s="542" t="s">
        <v>3316</v>
      </c>
      <c r="E627" s="542" t="s">
        <v>2421</v>
      </c>
      <c r="F627" s="542" t="s">
        <v>3317</v>
      </c>
      <c r="G627" s="542" t="s">
        <v>2422</v>
      </c>
      <c r="H627" s="426">
        <v>1675.2947200000001</v>
      </c>
      <c r="I627" s="425">
        <v>58.162950000000002</v>
      </c>
      <c r="J627" s="425">
        <v>197.98</v>
      </c>
      <c r="K627" s="425">
        <v>18981.563539999999</v>
      </c>
      <c r="L627" s="542" t="s">
        <v>622</v>
      </c>
      <c r="M627" s="423" t="s">
        <v>699</v>
      </c>
      <c r="N627" s="206">
        <v>1153.0744999999999</v>
      </c>
      <c r="O627" s="546"/>
      <c r="R627" s="206"/>
    </row>
    <row r="628" spans="1:18" ht="15">
      <c r="A628" s="424">
        <v>98115</v>
      </c>
      <c r="B628" t="str">
        <f t="shared" si="22"/>
        <v>SEVROLL-HOR.VEDENIE COMFORT 3 M OLIVA</v>
      </c>
      <c r="C628" s="209">
        <f t="shared" si="21"/>
        <v>62.45346</v>
      </c>
      <c r="D628" s="542" t="s">
        <v>3882</v>
      </c>
      <c r="E628" s="542" t="s">
        <v>1120</v>
      </c>
      <c r="F628" s="542" t="s">
        <v>662</v>
      </c>
      <c r="G628" s="542" t="s">
        <v>1652</v>
      </c>
      <c r="H628" s="426">
        <v>1676.0064</v>
      </c>
      <c r="I628" s="425">
        <v>62.45346</v>
      </c>
      <c r="J628" s="425">
        <v>215.46</v>
      </c>
      <c r="K628" s="425">
        <v>18989.627079999998</v>
      </c>
      <c r="L628" s="542" t="s">
        <v>622</v>
      </c>
      <c r="M628" s="423" t="s">
        <v>699</v>
      </c>
      <c r="N628" s="206">
        <v>1153.7277999999999</v>
      </c>
      <c r="O628" s="546"/>
      <c r="R628" s="206"/>
    </row>
    <row r="629" spans="1:18" ht="15">
      <c r="A629" s="429">
        <v>346130</v>
      </c>
      <c r="B629" t="str">
        <f t="shared" si="22"/>
        <v/>
      </c>
      <c r="C629" s="209">
        <f t="shared" si="21"/>
        <v>86.533360000000002</v>
      </c>
      <c r="D629" s="542" t="s">
        <v>3648</v>
      </c>
      <c r="E629" s="542" t="s">
        <v>2755</v>
      </c>
      <c r="F629" s="542" t="s">
        <v>84</v>
      </c>
      <c r="G629" s="542" t="s">
        <v>84</v>
      </c>
      <c r="H629" s="426">
        <v>1759.6288</v>
      </c>
      <c r="I629" s="425">
        <v>86.533360000000002</v>
      </c>
      <c r="J629" s="425">
        <v>257.38</v>
      </c>
      <c r="K629" s="425">
        <v>24551.87473</v>
      </c>
      <c r="L629" s="542" t="s">
        <v>622</v>
      </c>
      <c r="M629" s="430" t="s">
        <v>699</v>
      </c>
      <c r="N629" s="206">
        <v>1162.9907599999999</v>
      </c>
      <c r="O629" s="546"/>
      <c r="R629" s="206"/>
    </row>
    <row r="630" spans="1:18" ht="15">
      <c r="A630" s="424">
        <v>102831</v>
      </c>
      <c r="B630" t="str">
        <f t="shared" si="22"/>
        <v>SEVROLL Maxim spod.krycia lišta 4,3m strieborná</v>
      </c>
      <c r="C630" s="209">
        <f t="shared" si="21"/>
        <v>56.041800000000002</v>
      </c>
      <c r="D630" s="542" t="s">
        <v>4365</v>
      </c>
      <c r="E630" s="542" t="s">
        <v>1125</v>
      </c>
      <c r="F630" s="542" t="s">
        <v>4366</v>
      </c>
      <c r="G630" s="542" t="s">
        <v>2211</v>
      </c>
      <c r="H630" s="426">
        <v>1614.09024</v>
      </c>
      <c r="I630" s="425">
        <v>56.041800000000002</v>
      </c>
      <c r="J630" s="425">
        <v>190.74</v>
      </c>
      <c r="K630" s="425">
        <v>18288.099460000001</v>
      </c>
      <c r="L630" s="542" t="s">
        <v>621</v>
      </c>
      <c r="M630" s="423" t="s">
        <v>699</v>
      </c>
      <c r="N630" s="206">
        <v>1166.1405</v>
      </c>
      <c r="O630" s="546"/>
      <c r="R630" s="206"/>
    </row>
    <row r="631" spans="1:18" ht="15">
      <c r="A631" s="424">
        <v>134934</v>
      </c>
      <c r="B631" t="str">
        <f t="shared" si="22"/>
        <v>SEVROLL Gemini horné vedenie 6m oliva</v>
      </c>
      <c r="C631" s="209">
        <f t="shared" si="21"/>
        <v>66.020859999999999</v>
      </c>
      <c r="D631" s="542" t="s">
        <v>4544</v>
      </c>
      <c r="E631" s="542" t="s">
        <v>1952</v>
      </c>
      <c r="F631" s="542" t="s">
        <v>4545</v>
      </c>
      <c r="G631" s="542" t="s">
        <v>1953</v>
      </c>
      <c r="H631" s="426">
        <v>1695.2217599999999</v>
      </c>
      <c r="I631" s="425">
        <v>66.020859999999999</v>
      </c>
      <c r="J631" s="425">
        <v>219.02</v>
      </c>
      <c r="K631" s="425">
        <v>19207.342540000001</v>
      </c>
      <c r="L631" s="542" t="s">
        <v>621</v>
      </c>
      <c r="M631" s="423" t="s">
        <v>699</v>
      </c>
      <c r="N631" s="206">
        <v>1171.3669</v>
      </c>
      <c r="O631" s="546"/>
      <c r="R631" s="206"/>
    </row>
    <row r="632" spans="1:18" ht="15">
      <c r="A632" s="424">
        <v>288822</v>
      </c>
      <c r="B632" t="str">
        <f t="shared" si="22"/>
        <v>SEVROLL tlumič dorazu Top SV60 - 2ks</v>
      </c>
      <c r="C632" s="209">
        <f t="shared" si="21"/>
        <v>52.474409999999999</v>
      </c>
      <c r="D632" s="542" t="s">
        <v>3229</v>
      </c>
      <c r="E632" s="542" t="s">
        <v>2573</v>
      </c>
      <c r="F632" s="542" t="s">
        <v>3229</v>
      </c>
      <c r="G632" s="542" t="s">
        <v>2574</v>
      </c>
      <c r="H632" s="426">
        <v>1511.60832</v>
      </c>
      <c r="I632" s="425">
        <v>52.474409999999999</v>
      </c>
      <c r="J632" s="425">
        <v>178.63</v>
      </c>
      <c r="K632" s="425">
        <v>17126.950280000001</v>
      </c>
      <c r="L632" s="542" t="s">
        <v>622</v>
      </c>
      <c r="M632" s="423" t="s">
        <v>703</v>
      </c>
      <c r="N632" s="206">
        <v>1201.4186999999999</v>
      </c>
      <c r="O632" s="546"/>
      <c r="R632" s="206"/>
    </row>
    <row r="633" spans="1:18" ht="15">
      <c r="A633" s="424">
        <v>299760</v>
      </c>
      <c r="B633" t="str">
        <f t="shared" si="22"/>
        <v>SEVROLL Idea sada kovania pre dvoje dvere</v>
      </c>
      <c r="C633" s="209">
        <f t="shared" si="21"/>
        <v>55.053539999999998</v>
      </c>
      <c r="D633" s="542" t="s">
        <v>3560</v>
      </c>
      <c r="E633" s="542" t="s">
        <v>3561</v>
      </c>
      <c r="F633" s="542" t="s">
        <v>3562</v>
      </c>
      <c r="G633" s="542" t="s">
        <v>2052</v>
      </c>
      <c r="H633" s="426">
        <v>1585.6230399999999</v>
      </c>
      <c r="I633" s="425">
        <v>55.053539999999998</v>
      </c>
      <c r="J633" s="425">
        <v>187.38</v>
      </c>
      <c r="K633" s="425">
        <v>17965.558000000001</v>
      </c>
      <c r="L633" s="542" t="s">
        <v>622</v>
      </c>
      <c r="M633" s="423" t="s">
        <v>700</v>
      </c>
      <c r="N633" s="206">
        <v>1202.7253000000001</v>
      </c>
      <c r="O633" s="546"/>
      <c r="R633" s="206"/>
    </row>
    <row r="634" spans="1:18" ht="15">
      <c r="A634" s="424">
        <v>238027</v>
      </c>
      <c r="B634" t="str">
        <f t="shared" si="22"/>
        <v>SEVROLL Maxim horné vedenie 4,3m oliva</v>
      </c>
      <c r="C634" s="209">
        <f t="shared" si="21"/>
        <v>60.790289999999999</v>
      </c>
      <c r="D634" s="542" t="s">
        <v>3494</v>
      </c>
      <c r="E634" s="542" t="s">
        <v>1408</v>
      </c>
      <c r="F634" s="542" t="s">
        <v>3495</v>
      </c>
      <c r="G634" s="542" t="s">
        <v>2166</v>
      </c>
      <c r="H634" s="426">
        <v>1751.4444800000001</v>
      </c>
      <c r="I634" s="425">
        <v>60.790289999999999</v>
      </c>
      <c r="J634" s="425">
        <v>206.97</v>
      </c>
      <c r="K634" s="425">
        <v>19844.361870000001</v>
      </c>
      <c r="L634" s="542" t="s">
        <v>622</v>
      </c>
      <c r="M634" s="423" t="s">
        <v>699</v>
      </c>
      <c r="N634" s="206">
        <v>1204.6851999999999</v>
      </c>
      <c r="O634" s="546"/>
      <c r="R634" s="206"/>
    </row>
    <row r="635" spans="1:18" ht="15">
      <c r="A635" s="429">
        <v>213363</v>
      </c>
      <c r="B635" t="str">
        <f t="shared" si="22"/>
        <v>SEVROLL Herkules tlmič 40-80kg</v>
      </c>
      <c r="C635" s="209">
        <f t="shared" ref="C635:C698" si="23">IF($A$2=1,H635,IF($A$2=2,I635,IF($A$2=3,J635,IF($A$2=4,K635,"zadat jazyk"))))</f>
        <v>63.345309999999998</v>
      </c>
      <c r="D635" s="542" t="s">
        <v>3618</v>
      </c>
      <c r="E635" s="542" t="s">
        <v>2754</v>
      </c>
      <c r="F635" s="542" t="s">
        <v>3619</v>
      </c>
      <c r="G635" s="542" t="s">
        <v>2816</v>
      </c>
      <c r="H635" s="426">
        <v>1600.1624400000001</v>
      </c>
      <c r="I635" s="425">
        <v>63.345309999999998</v>
      </c>
      <c r="J635" s="425">
        <v>184.28</v>
      </c>
      <c r="K635" s="425">
        <v>17989.748619999998</v>
      </c>
      <c r="L635" s="542" t="s">
        <v>622</v>
      </c>
      <c r="M635" s="430" t="s">
        <v>699</v>
      </c>
      <c r="N635" s="206">
        <v>1218.5768599999999</v>
      </c>
      <c r="O635" s="546"/>
      <c r="R635" s="206"/>
    </row>
    <row r="636" spans="1:18" ht="15">
      <c r="A636" s="424">
        <v>306089</v>
      </c>
      <c r="B636" t="str">
        <f t="shared" si="22"/>
        <v>SEVROLL tlmič dorazu Top SV80 - 2ks</v>
      </c>
      <c r="C636" s="209">
        <f t="shared" si="23"/>
        <v>56.138219999999997</v>
      </c>
      <c r="D636" s="542" t="s">
        <v>3227</v>
      </c>
      <c r="E636" s="542" t="s">
        <v>2575</v>
      </c>
      <c r="F636" s="542" t="s">
        <v>3228</v>
      </c>
      <c r="G636" s="542" t="s">
        <v>2576</v>
      </c>
      <c r="H636" s="426">
        <v>1616.93696</v>
      </c>
      <c r="I636" s="425">
        <v>56.138219999999997</v>
      </c>
      <c r="J636" s="425">
        <v>191.08</v>
      </c>
      <c r="K636" s="425">
        <v>18320.353589999999</v>
      </c>
      <c r="L636" s="542" t="s">
        <v>622</v>
      </c>
      <c r="M636" s="423" t="s">
        <v>703</v>
      </c>
      <c r="N636" s="206">
        <v>1223.6309000000001</v>
      </c>
      <c r="O636" s="546"/>
      <c r="R636" s="206"/>
    </row>
    <row r="637" spans="1:18" ht="15">
      <c r="A637" s="427">
        <v>195462</v>
      </c>
      <c r="B637" t="str">
        <f t="shared" si="22"/>
        <v>ASTIN spojovací lišta H30 5,4m oliva lak.</v>
      </c>
      <c r="C637" s="209" t="e">
        <f t="shared" si="23"/>
        <v>#N/A</v>
      </c>
      <c r="D637" s="542" t="s">
        <v>3947</v>
      </c>
      <c r="E637" s="542" t="s">
        <v>812</v>
      </c>
      <c r="F637" s="542" t="s">
        <v>3948</v>
      </c>
      <c r="G637" s="542" t="s">
        <v>813</v>
      </c>
      <c r="H637" s="426">
        <v>1372.3970400000001</v>
      </c>
      <c r="I637" s="425" t="e">
        <v>#N/A</v>
      </c>
      <c r="J637" s="425">
        <v>205.68932000000001</v>
      </c>
      <c r="K637" s="425">
        <v>16517.846079999999</v>
      </c>
      <c r="L637" s="542" t="s">
        <v>622</v>
      </c>
      <c r="M637" s="428" t="s">
        <v>699</v>
      </c>
      <c r="N637" s="206">
        <v>1252.5845999999999</v>
      </c>
      <c r="O637" s="546"/>
      <c r="R637" s="206"/>
    </row>
    <row r="638" spans="1:18" ht="15">
      <c r="A638" s="427">
        <v>340591</v>
      </c>
      <c r="B638" t="str">
        <f t="shared" si="22"/>
        <v/>
      </c>
      <c r="C638" s="209" t="e">
        <f t="shared" si="23"/>
        <v>#N/A</v>
      </c>
      <c r="D638" s="542" t="s">
        <v>2714</v>
      </c>
      <c r="E638" s="542" t="s">
        <v>2722</v>
      </c>
      <c r="F638" s="542" t="s">
        <v>84</v>
      </c>
      <c r="G638" s="542" t="s">
        <v>84</v>
      </c>
      <c r="H638" s="426">
        <v>1373.0976000000001</v>
      </c>
      <c r="I638" s="425" t="e">
        <v>#N/A</v>
      </c>
      <c r="J638" s="425">
        <v>205.79432</v>
      </c>
      <c r="K638" s="425">
        <v>16526.277849999999</v>
      </c>
      <c r="L638" s="542" t="s">
        <v>622</v>
      </c>
      <c r="M638" s="428" t="s">
        <v>699</v>
      </c>
      <c r="N638" s="206">
        <v>1253.2239999999999</v>
      </c>
      <c r="O638" s="546"/>
      <c r="R638" s="206"/>
    </row>
    <row r="639" spans="1:18" ht="15">
      <c r="A639" s="427">
        <v>195449</v>
      </c>
      <c r="B639" t="str">
        <f t="shared" si="22"/>
        <v>ASTIN PRESTIGE úch.lišta 5,4m oliva lak.</v>
      </c>
      <c r="C639" s="209" t="e">
        <f t="shared" si="23"/>
        <v>#N/A</v>
      </c>
      <c r="D639" s="542" t="s">
        <v>3955</v>
      </c>
      <c r="E639" s="542" t="s">
        <v>799</v>
      </c>
      <c r="F639" s="542" t="s">
        <v>3956</v>
      </c>
      <c r="G639" s="542" t="s">
        <v>976</v>
      </c>
      <c r="H639" s="426">
        <v>1386.0579600000001</v>
      </c>
      <c r="I639" s="425" t="e">
        <v>#N/A</v>
      </c>
      <c r="J639" s="425">
        <v>207.73676</v>
      </c>
      <c r="K639" s="425">
        <v>16682.26568</v>
      </c>
      <c r="L639" s="542" t="s">
        <v>622</v>
      </c>
      <c r="M639" s="428" t="s">
        <v>699</v>
      </c>
      <c r="N639" s="206">
        <v>1265.0528999999999</v>
      </c>
      <c r="O639" s="546"/>
      <c r="R639" s="206"/>
    </row>
    <row r="640" spans="1:18" ht="15">
      <c r="A640" s="424">
        <v>238032</v>
      </c>
      <c r="B640" t="str">
        <f t="shared" si="22"/>
        <v>SEVROLL Maxim spod.krycia lišta 4,3m oliva</v>
      </c>
      <c r="C640" s="209">
        <f t="shared" si="23"/>
        <v>64.429990000000004</v>
      </c>
      <c r="D640" s="542" t="s">
        <v>3469</v>
      </c>
      <c r="E640" s="542" t="s">
        <v>1413</v>
      </c>
      <c r="F640" s="542" t="s">
        <v>3470</v>
      </c>
      <c r="G640" s="542" t="s">
        <v>2210</v>
      </c>
      <c r="H640" s="426">
        <v>1855.3497600000001</v>
      </c>
      <c r="I640" s="425">
        <v>64.429990000000004</v>
      </c>
      <c r="J640" s="425">
        <v>219.25</v>
      </c>
      <c r="K640" s="425">
        <v>21021.638129999999</v>
      </c>
      <c r="L640" s="542" t="s">
        <v>622</v>
      </c>
      <c r="M640" s="423" t="s">
        <v>699</v>
      </c>
      <c r="N640" s="206">
        <v>1276.5482</v>
      </c>
      <c r="O640" s="546"/>
      <c r="R640" s="206"/>
    </row>
    <row r="641" spans="1:18" ht="15">
      <c r="A641" s="427">
        <v>340597</v>
      </c>
      <c r="B641" t="str">
        <f t="shared" si="22"/>
        <v/>
      </c>
      <c r="C641" s="209" t="e">
        <f t="shared" si="23"/>
        <v>#N/A</v>
      </c>
      <c r="D641" s="542" t="s">
        <v>2710</v>
      </c>
      <c r="E641" s="542" t="s">
        <v>2719</v>
      </c>
      <c r="F641" s="542" t="s">
        <v>84</v>
      </c>
      <c r="G641" s="542" t="s">
        <v>84</v>
      </c>
      <c r="H641" s="426">
        <v>1399.7188799999999</v>
      </c>
      <c r="I641" s="425" t="e">
        <v>#N/A</v>
      </c>
      <c r="J641" s="425">
        <v>209.78421</v>
      </c>
      <c r="K641" s="425">
        <v>16846.685290000001</v>
      </c>
      <c r="L641" s="542" t="s">
        <v>622</v>
      </c>
      <c r="M641" s="428" t="s">
        <v>699</v>
      </c>
      <c r="N641" s="206">
        <v>1277.5211999999999</v>
      </c>
      <c r="O641" s="546"/>
      <c r="R641" s="206"/>
    </row>
    <row r="642" spans="1:18" ht="15">
      <c r="A642" s="429">
        <v>223518</v>
      </c>
      <c r="B642" t="str">
        <f t="shared" si="22"/>
        <v>SEVROLL Herkules sada kovania60kg, 1,8m</v>
      </c>
      <c r="C642" s="209">
        <f t="shared" si="23"/>
        <v>77.397940000000006</v>
      </c>
      <c r="D642" s="542" t="s">
        <v>3626</v>
      </c>
      <c r="E642" s="542" t="s">
        <v>1312</v>
      </c>
      <c r="F642" s="542" t="s">
        <v>3627</v>
      </c>
      <c r="G642" s="542" t="s">
        <v>2820</v>
      </c>
      <c r="H642" s="426">
        <v>1955.19624</v>
      </c>
      <c r="I642" s="425">
        <v>77.397940000000006</v>
      </c>
      <c r="J642" s="425">
        <v>225.17</v>
      </c>
      <c r="K642" s="425">
        <v>21981.198899999999</v>
      </c>
      <c r="L642" s="542" t="s">
        <v>622</v>
      </c>
      <c r="M642" s="430" t="s">
        <v>700</v>
      </c>
      <c r="N642" s="206">
        <v>1299.9836</v>
      </c>
      <c r="O642" s="546"/>
      <c r="R642" s="206"/>
    </row>
    <row r="643" spans="1:18" ht="15">
      <c r="A643" s="429">
        <v>223520</v>
      </c>
      <c r="B643" t="str">
        <f t="shared" si="22"/>
        <v>SEVROLL Herkules sada kovania60kg, 2m</v>
      </c>
      <c r="C643" s="209">
        <f t="shared" si="23"/>
        <v>81.254580000000004</v>
      </c>
      <c r="D643" s="542" t="s">
        <v>3622</v>
      </c>
      <c r="E643" s="542" t="s">
        <v>1314</v>
      </c>
      <c r="F643" s="542" t="s">
        <v>3623</v>
      </c>
      <c r="G643" s="542" t="s">
        <v>2818</v>
      </c>
      <c r="H643" s="426">
        <v>2052.7408799999998</v>
      </c>
      <c r="I643" s="425">
        <v>81.254580000000004</v>
      </c>
      <c r="J643" s="425">
        <v>236.4</v>
      </c>
      <c r="K643" s="425">
        <v>23077.839769999999</v>
      </c>
      <c r="L643" s="542" t="s">
        <v>622</v>
      </c>
      <c r="M643" s="430" t="s">
        <v>700</v>
      </c>
      <c r="N643" s="206">
        <v>1303.1388999999999</v>
      </c>
      <c r="O643" s="546"/>
      <c r="R643" s="206"/>
    </row>
    <row r="644" spans="1:18" ht="15">
      <c r="A644" s="429">
        <v>223517</v>
      </c>
      <c r="B644" t="str">
        <f t="shared" si="22"/>
        <v>SEVROLL Herkules sada kovania120kg, 1,5m</v>
      </c>
      <c r="C644" s="209">
        <f t="shared" si="23"/>
        <v>82.821340000000006</v>
      </c>
      <c r="D644" s="542" t="s">
        <v>3642</v>
      </c>
      <c r="E644" s="542" t="s">
        <v>1311</v>
      </c>
      <c r="F644" s="542" t="s">
        <v>3643</v>
      </c>
      <c r="G644" s="542" t="s">
        <v>2828</v>
      </c>
      <c r="H644" s="426">
        <v>2092.1890800000001</v>
      </c>
      <c r="I644" s="425">
        <v>82.821340000000006</v>
      </c>
      <c r="J644" s="425">
        <v>240.94</v>
      </c>
      <c r="K644" s="425">
        <v>23521.33426</v>
      </c>
      <c r="L644" s="542" t="s">
        <v>622</v>
      </c>
      <c r="M644" s="430" t="s">
        <v>700</v>
      </c>
      <c r="N644" s="206">
        <v>1303.1388999999999</v>
      </c>
      <c r="O644" s="546"/>
      <c r="R644" s="206"/>
    </row>
    <row r="645" spans="1:18" ht="15">
      <c r="A645" s="424">
        <v>181590</v>
      </c>
      <c r="B645" t="str">
        <f t="shared" si="22"/>
        <v>SEVROLL Everest sada pre úch.lištu Fox II</v>
      </c>
      <c r="C645" s="209">
        <f t="shared" si="23"/>
        <v>60.284100000000002</v>
      </c>
      <c r="D645" s="542" t="s">
        <v>4606</v>
      </c>
      <c r="E645" s="542" t="s">
        <v>1787</v>
      </c>
      <c r="F645" s="542" t="s">
        <v>4607</v>
      </c>
      <c r="G645" s="542" t="s">
        <v>1788</v>
      </c>
      <c r="H645" s="426">
        <v>1736.4992</v>
      </c>
      <c r="I645" s="425">
        <v>60.284100000000002</v>
      </c>
      <c r="J645" s="425">
        <v>205.21</v>
      </c>
      <c r="K645" s="425">
        <v>19675.027620000001</v>
      </c>
      <c r="L645" s="542" t="s">
        <v>621</v>
      </c>
      <c r="M645" s="423" t="s">
        <v>700</v>
      </c>
      <c r="N645" s="206">
        <v>1317.0527999999999</v>
      </c>
      <c r="O645" s="546"/>
      <c r="R645" s="206"/>
    </row>
    <row r="646" spans="1:18" ht="15">
      <c r="A646" s="429">
        <v>223519</v>
      </c>
      <c r="B646" t="str">
        <f t="shared" si="22"/>
        <v>SEVROLL Herkules sada kovania120kg, 1,8m</v>
      </c>
      <c r="C646" s="209">
        <f t="shared" si="23"/>
        <v>89.112489999999994</v>
      </c>
      <c r="D646" s="542" t="s">
        <v>3640</v>
      </c>
      <c r="E646" s="542" t="s">
        <v>1313</v>
      </c>
      <c r="F646" s="542" t="s">
        <v>3641</v>
      </c>
      <c r="G646" s="542" t="s">
        <v>2827</v>
      </c>
      <c r="H646" s="426">
        <v>2250.6991200000002</v>
      </c>
      <c r="I646" s="425">
        <v>89.112489999999994</v>
      </c>
      <c r="J646" s="425">
        <v>259.2</v>
      </c>
      <c r="K646" s="425">
        <v>25303.375690000001</v>
      </c>
      <c r="L646" s="542" t="s">
        <v>622</v>
      </c>
      <c r="M646" s="430" t="s">
        <v>700</v>
      </c>
      <c r="N646" s="206">
        <v>1407.2637999999999</v>
      </c>
      <c r="O646" s="546"/>
      <c r="R646" s="206"/>
    </row>
    <row r="647" spans="1:18" ht="15">
      <c r="A647" s="424">
        <v>98079</v>
      </c>
      <c r="B647" t="str">
        <f t="shared" si="22"/>
        <v>SEVROLL -COMFORT HORNÉ VEDENI 4,05M STR</v>
      </c>
      <c r="C647" s="209">
        <f t="shared" si="23"/>
        <v>76.674819999999997</v>
      </c>
      <c r="D647" s="542" t="s">
        <v>3879</v>
      </c>
      <c r="E647" s="542" t="s">
        <v>1115</v>
      </c>
      <c r="F647" s="542" t="s">
        <v>3880</v>
      </c>
      <c r="G647" s="542" t="s">
        <v>1655</v>
      </c>
      <c r="H647" s="426">
        <v>2058.1785599999998</v>
      </c>
      <c r="I647" s="425">
        <v>76.674819999999997</v>
      </c>
      <c r="J647" s="425">
        <v>264.39</v>
      </c>
      <c r="K647" s="425">
        <v>23319.745849999999</v>
      </c>
      <c r="L647" s="542" t="s">
        <v>621</v>
      </c>
      <c r="M647" s="423" t="s">
        <v>699</v>
      </c>
      <c r="N647" s="206">
        <v>1416.3543999999999</v>
      </c>
      <c r="O647" s="546"/>
      <c r="R647" s="206"/>
    </row>
    <row r="648" spans="1:18" ht="15">
      <c r="A648" s="429">
        <v>223522</v>
      </c>
      <c r="B648" t="str">
        <f t="shared" si="22"/>
        <v>SEVROLL Herkules sada kovania60kg, 2,4m</v>
      </c>
      <c r="C648" s="209">
        <f t="shared" si="23"/>
        <v>86.798500000000004</v>
      </c>
      <c r="D648" s="542" t="s">
        <v>3624</v>
      </c>
      <c r="E648" s="542" t="s">
        <v>1316</v>
      </c>
      <c r="F648" s="542" t="s">
        <v>3625</v>
      </c>
      <c r="G648" s="542" t="s">
        <v>2819</v>
      </c>
      <c r="H648" s="426">
        <v>2193.3199199999999</v>
      </c>
      <c r="I648" s="425">
        <v>86.798500000000004</v>
      </c>
      <c r="J648" s="425">
        <v>252.59</v>
      </c>
      <c r="K648" s="425">
        <v>24658.292819999999</v>
      </c>
      <c r="L648" s="542" t="s">
        <v>622</v>
      </c>
      <c r="M648" s="430" t="s">
        <v>700</v>
      </c>
      <c r="N648" s="206">
        <v>1420.5160599999999</v>
      </c>
      <c r="O648" s="546"/>
      <c r="R648" s="206"/>
    </row>
    <row r="649" spans="1:18" ht="15">
      <c r="A649" s="427">
        <v>261946</v>
      </c>
      <c r="B649" t="str">
        <f t="shared" si="22"/>
        <v>ASTIN výplň AD8221 10mm 1350x900mm</v>
      </c>
      <c r="C649" s="209" t="e">
        <f t="shared" si="23"/>
        <v>#N/A</v>
      </c>
      <c r="D649" s="542" t="s">
        <v>3940</v>
      </c>
      <c r="E649" s="542" t="s">
        <v>1354</v>
      </c>
      <c r="F649" s="542" t="s">
        <v>3940</v>
      </c>
      <c r="G649" s="542" t="s">
        <v>1355</v>
      </c>
      <c r="H649" s="426">
        <v>1576.26</v>
      </c>
      <c r="I649" s="425" t="e">
        <v>#N/A</v>
      </c>
      <c r="J649" s="425">
        <v>236.24347</v>
      </c>
      <c r="K649" s="425">
        <v>18971.492440000002</v>
      </c>
      <c r="L649" s="542" t="s">
        <v>622</v>
      </c>
      <c r="M649" s="428" t="s">
        <v>699</v>
      </c>
      <c r="N649" s="206">
        <v>1438.65</v>
      </c>
      <c r="O649" s="546"/>
      <c r="R649" s="206"/>
    </row>
    <row r="650" spans="1:18" ht="15">
      <c r="A650" s="424">
        <v>191641</v>
      </c>
      <c r="B650" t="str">
        <f t="shared" si="22"/>
        <v>SEVROLL-HOR.VEDENIE JEDNOD.TOP 6M STR.</v>
      </c>
      <c r="C650" s="209">
        <f t="shared" si="23"/>
        <v>73.56541</v>
      </c>
      <c r="D650" s="542" t="s">
        <v>3223</v>
      </c>
      <c r="E650" s="542" t="s">
        <v>2579</v>
      </c>
      <c r="F650" s="542" t="s">
        <v>797</v>
      </c>
      <c r="G650" s="542" t="s">
        <v>2580</v>
      </c>
      <c r="H650" s="426">
        <v>2119.3830400000002</v>
      </c>
      <c r="I650" s="425">
        <v>73.56541</v>
      </c>
      <c r="J650" s="425">
        <v>250.46</v>
      </c>
      <c r="K650" s="425">
        <v>24013.20995</v>
      </c>
      <c r="L650" s="542" t="s">
        <v>622</v>
      </c>
      <c r="M650" s="423" t="s">
        <v>699</v>
      </c>
      <c r="N650" s="206">
        <v>1458.1656</v>
      </c>
      <c r="O650" s="546"/>
      <c r="R650" s="206"/>
    </row>
    <row r="651" spans="1:18" ht="15">
      <c r="A651" s="424">
        <v>197377</v>
      </c>
      <c r="B651" t="str">
        <f t="shared" si="22"/>
        <v>SEVROLL Maxim horné vedenie 6m strieborná</v>
      </c>
      <c r="C651" s="209">
        <f t="shared" si="23"/>
        <v>73.685929999999999</v>
      </c>
      <c r="D651" s="542" t="s">
        <v>3492</v>
      </c>
      <c r="E651" s="542" t="s">
        <v>2169</v>
      </c>
      <c r="F651" s="542" t="s">
        <v>3493</v>
      </c>
      <c r="G651" s="542" t="s">
        <v>2170</v>
      </c>
      <c r="H651" s="426">
        <v>2122.2297600000002</v>
      </c>
      <c r="I651" s="425">
        <v>73.685929999999999</v>
      </c>
      <c r="J651" s="425">
        <v>250.79</v>
      </c>
      <c r="K651" s="425">
        <v>24045.464080000002</v>
      </c>
      <c r="L651" s="542" t="s">
        <v>622</v>
      </c>
      <c r="M651" s="423" t="s">
        <v>699</v>
      </c>
      <c r="N651" s="206">
        <v>1460.1255000000001</v>
      </c>
      <c r="O651" s="546"/>
      <c r="R651" s="206"/>
    </row>
    <row r="652" spans="1:18" ht="15">
      <c r="A652" s="429">
        <v>223521</v>
      </c>
      <c r="B652" t="str">
        <f t="shared" si="22"/>
        <v>SEVROLL Herkules sada kovania120kg, 2m</v>
      </c>
      <c r="C652" s="209">
        <f t="shared" si="23"/>
        <v>93.764560000000003</v>
      </c>
      <c r="D652" s="542" t="s">
        <v>3636</v>
      </c>
      <c r="E652" s="542" t="s">
        <v>1315</v>
      </c>
      <c r="F652" s="542" t="s">
        <v>3637</v>
      </c>
      <c r="G652" s="542" t="s">
        <v>2825</v>
      </c>
      <c r="H652" s="426">
        <v>2369.0437200000001</v>
      </c>
      <c r="I652" s="425">
        <v>93.764560000000003</v>
      </c>
      <c r="J652" s="425">
        <v>272.83</v>
      </c>
      <c r="K652" s="425">
        <v>26633.859130000001</v>
      </c>
      <c r="L652" s="542" t="s">
        <v>622</v>
      </c>
      <c r="M652" s="430" t="s">
        <v>700</v>
      </c>
      <c r="N652" s="206">
        <v>1472.8940399999999</v>
      </c>
      <c r="O652" s="546"/>
      <c r="R652" s="206"/>
    </row>
    <row r="653" spans="1:18" ht="15">
      <c r="A653" s="427">
        <v>157362</v>
      </c>
      <c r="B653" t="str">
        <f t="shared" si="22"/>
        <v>ASTIN horné vedenie 3,6m kartáč.ČIERNA</v>
      </c>
      <c r="C653" s="209">
        <f t="shared" si="23"/>
        <v>0</v>
      </c>
      <c r="D653" s="542" t="s">
        <v>3130</v>
      </c>
      <c r="E653" s="542" t="s">
        <v>645</v>
      </c>
      <c r="F653" s="542" t="s">
        <v>3131</v>
      </c>
      <c r="G653" s="542" t="s">
        <v>2727</v>
      </c>
      <c r="H653" s="426">
        <v>1642.1126400000001</v>
      </c>
      <c r="I653" s="425">
        <v>0</v>
      </c>
      <c r="J653" s="425">
        <v>246.11319</v>
      </c>
      <c r="K653" s="425">
        <v>19764.079229999999</v>
      </c>
      <c r="L653" s="542" t="s">
        <v>623</v>
      </c>
      <c r="M653" s="428" t="s">
        <v>699</v>
      </c>
      <c r="N653" s="206">
        <v>1498.7536</v>
      </c>
      <c r="O653" s="546"/>
      <c r="R653" s="206"/>
    </row>
    <row r="654" spans="1:18" ht="15">
      <c r="A654" s="424">
        <v>180420</v>
      </c>
      <c r="B654" t="str">
        <f t="shared" si="22"/>
        <v>SEVROLL Maxim spod.krycia lišta 6m strieborn</v>
      </c>
      <c r="C654" s="209">
        <f t="shared" si="23"/>
        <v>78.169269999999997</v>
      </c>
      <c r="D654" s="542" t="s">
        <v>3467</v>
      </c>
      <c r="E654" s="542" t="s">
        <v>1094</v>
      </c>
      <c r="F654" s="542" t="s">
        <v>3468</v>
      </c>
      <c r="G654" s="542" t="s">
        <v>2212</v>
      </c>
      <c r="H654" s="426">
        <v>2251.7555200000002</v>
      </c>
      <c r="I654" s="425">
        <v>78.169269999999997</v>
      </c>
      <c r="J654" s="425">
        <v>266.10000000000002</v>
      </c>
      <c r="K654" s="425">
        <v>25513.027620000001</v>
      </c>
      <c r="L654" s="542" t="s">
        <v>622</v>
      </c>
      <c r="M654" s="423" t="s">
        <v>699</v>
      </c>
      <c r="N654" s="206">
        <v>1548.9743000000001</v>
      </c>
      <c r="O654" s="546"/>
      <c r="R654" s="206"/>
    </row>
    <row r="655" spans="1:18" ht="15">
      <c r="A655" s="424">
        <v>98117</v>
      </c>
      <c r="B655" t="str">
        <f t="shared" si="22"/>
        <v>SEVROLL-HOR.VEDENIE COMFORT 4,05 M OLIVA</v>
      </c>
      <c r="C655" s="209">
        <f t="shared" si="23"/>
        <v>84.315790000000007</v>
      </c>
      <c r="D655" s="542" t="s">
        <v>3881</v>
      </c>
      <c r="E655" s="542" t="s">
        <v>1121</v>
      </c>
      <c r="F655" s="542" t="s">
        <v>663</v>
      </c>
      <c r="G655" s="542" t="s">
        <v>1654</v>
      </c>
      <c r="H655" s="426">
        <v>2263.1424000000002</v>
      </c>
      <c r="I655" s="425">
        <v>84.315790000000007</v>
      </c>
      <c r="J655" s="425">
        <v>290.83999999999997</v>
      </c>
      <c r="K655" s="425">
        <v>25642.0442</v>
      </c>
      <c r="L655" s="542" t="s">
        <v>622</v>
      </c>
      <c r="M655" s="423" t="s">
        <v>699</v>
      </c>
      <c r="N655" s="206">
        <v>1557.4672</v>
      </c>
      <c r="O655" s="546"/>
      <c r="R655" s="206"/>
    </row>
    <row r="656" spans="1:18" ht="15">
      <c r="A656" s="424">
        <v>212761</v>
      </c>
      <c r="B656" t="str">
        <f t="shared" si="22"/>
        <v>SEVROLL Line horné vedenie 2m alu surová</v>
      </c>
      <c r="C656" s="209">
        <f t="shared" si="23"/>
        <v>78.892390000000006</v>
      </c>
      <c r="D656" s="542" t="s">
        <v>3542</v>
      </c>
      <c r="E656" s="542" t="s">
        <v>927</v>
      </c>
      <c r="F656" s="542" t="s">
        <v>3543</v>
      </c>
      <c r="G656" s="542" t="s">
        <v>2073</v>
      </c>
      <c r="H656" s="426">
        <v>2272.3942400000001</v>
      </c>
      <c r="I656" s="425">
        <v>78.892390000000006</v>
      </c>
      <c r="J656" s="425">
        <v>268.54000000000002</v>
      </c>
      <c r="K656" s="425">
        <v>25746.870180000002</v>
      </c>
      <c r="L656" s="542" t="s">
        <v>622</v>
      </c>
      <c r="M656" s="423" t="s">
        <v>699</v>
      </c>
      <c r="N656" s="206">
        <v>1564.0001999999999</v>
      </c>
      <c r="O656" s="546"/>
      <c r="R656" s="206"/>
    </row>
    <row r="657" spans="1:34" ht="15">
      <c r="A657" s="429">
        <v>223512</v>
      </c>
      <c r="B657" t="str">
        <f t="shared" si="22"/>
        <v>SEVROLL horné vedenie Herkules 2 6m alu</v>
      </c>
      <c r="C657" s="209">
        <f t="shared" si="23"/>
        <v>104.8524</v>
      </c>
      <c r="D657" s="542" t="s">
        <v>3653</v>
      </c>
      <c r="E657" s="542" t="s">
        <v>2758</v>
      </c>
      <c r="F657" s="542" t="s">
        <v>3654</v>
      </c>
      <c r="G657" s="542" t="s">
        <v>2833</v>
      </c>
      <c r="H657" s="426">
        <v>2556.9605999999999</v>
      </c>
      <c r="I657" s="425">
        <v>104.8524</v>
      </c>
      <c r="J657" s="425">
        <v>299.60000000000002</v>
      </c>
      <c r="K657" s="425">
        <v>28746.505539999998</v>
      </c>
      <c r="L657" s="542" t="s">
        <v>622</v>
      </c>
      <c r="M657" s="430" t="s">
        <v>699</v>
      </c>
      <c r="N657" s="206">
        <v>1588.3780200000001</v>
      </c>
      <c r="O657" s="546"/>
      <c r="R657" s="206"/>
    </row>
    <row r="658" spans="1:34" ht="15">
      <c r="A658" s="424">
        <v>191642</v>
      </c>
      <c r="B658" t="str">
        <f t="shared" si="22"/>
        <v>SEVROLL-HOR.VEDENIE JEDNOD.TOP 6M OLIVA</v>
      </c>
      <c r="C658" s="209">
        <f t="shared" si="23"/>
        <v>80.868920000000003</v>
      </c>
      <c r="D658" s="542" t="s">
        <v>3224</v>
      </c>
      <c r="E658" s="542" t="s">
        <v>2583</v>
      </c>
      <c r="F658" s="542" t="s">
        <v>798</v>
      </c>
      <c r="G658" s="542" t="s">
        <v>2584</v>
      </c>
      <c r="H658" s="426">
        <v>2330.0403200000001</v>
      </c>
      <c r="I658" s="425">
        <v>80.868920000000003</v>
      </c>
      <c r="J658" s="425">
        <v>275.35000000000002</v>
      </c>
      <c r="K658" s="425">
        <v>26400.01657</v>
      </c>
      <c r="L658" s="542" t="s">
        <v>622</v>
      </c>
      <c r="M658" s="423" t="s">
        <v>699</v>
      </c>
      <c r="N658" s="206">
        <v>1602.5449000000001</v>
      </c>
      <c r="O658" s="546"/>
      <c r="R658" s="206"/>
    </row>
    <row r="659" spans="1:34" ht="15">
      <c r="A659" s="424">
        <v>262430</v>
      </c>
      <c r="B659" t="str">
        <f t="shared" si="22"/>
        <v>SEVROLL Optima horné vedenie 6m strieb</v>
      </c>
      <c r="C659" s="209">
        <f t="shared" si="23"/>
        <v>81.278689999999997</v>
      </c>
      <c r="D659" s="542" t="s">
        <v>3422</v>
      </c>
      <c r="E659" s="542" t="s">
        <v>1432</v>
      </c>
      <c r="F659" s="542" t="s">
        <v>3423</v>
      </c>
      <c r="G659" s="542" t="s">
        <v>2275</v>
      </c>
      <c r="H659" s="426">
        <v>2340.7155200000002</v>
      </c>
      <c r="I659" s="425">
        <v>81.278689999999997</v>
      </c>
      <c r="J659" s="425">
        <v>276.61</v>
      </c>
      <c r="K659" s="425">
        <v>26520.96962</v>
      </c>
      <c r="L659" s="542" t="s">
        <v>622</v>
      </c>
      <c r="M659" s="423" t="s">
        <v>699</v>
      </c>
      <c r="N659" s="206">
        <v>1611.0378000000001</v>
      </c>
      <c r="O659" s="546"/>
      <c r="R659" s="206"/>
    </row>
    <row r="660" spans="1:34" ht="15">
      <c r="A660" s="429">
        <v>223523</v>
      </c>
      <c r="B660" t="str">
        <f t="shared" si="22"/>
        <v>SEVROLL Herkules sada kovania120kg, 2,4m</v>
      </c>
      <c r="C660" s="209">
        <f t="shared" si="23"/>
        <v>100.0316</v>
      </c>
      <c r="D660" s="542" t="s">
        <v>3638</v>
      </c>
      <c r="E660" s="542" t="s">
        <v>1317</v>
      </c>
      <c r="F660" s="542" t="s">
        <v>3639</v>
      </c>
      <c r="G660" s="542" t="s">
        <v>2826</v>
      </c>
      <c r="H660" s="426">
        <v>2527.5537599999998</v>
      </c>
      <c r="I660" s="425">
        <v>100.0316</v>
      </c>
      <c r="J660" s="425">
        <v>291.08</v>
      </c>
      <c r="K660" s="425">
        <v>28415.900559999998</v>
      </c>
      <c r="L660" s="542" t="s">
        <v>622</v>
      </c>
      <c r="M660" s="430" t="s">
        <v>700</v>
      </c>
      <c r="N660" s="206">
        <v>1616.1446599999999</v>
      </c>
      <c r="O660" s="546"/>
      <c r="R660" s="206"/>
    </row>
    <row r="661" spans="1:34" ht="15">
      <c r="A661" s="429">
        <v>223524</v>
      </c>
      <c r="B661" t="str">
        <f t="shared" si="22"/>
        <v>SEVROLL Herkules sada kovania60kg, 3m</v>
      </c>
      <c r="C661" s="209">
        <f t="shared" si="23"/>
        <v>100.15212</v>
      </c>
      <c r="D661" s="542" t="s">
        <v>3620</v>
      </c>
      <c r="E661" s="542" t="s">
        <v>1318</v>
      </c>
      <c r="F661" s="542" t="s">
        <v>3621</v>
      </c>
      <c r="G661" s="542" t="s">
        <v>2817</v>
      </c>
      <c r="H661" s="426">
        <v>2529.7054800000001</v>
      </c>
      <c r="I661" s="425">
        <v>100.15212</v>
      </c>
      <c r="J661" s="425">
        <v>291.33</v>
      </c>
      <c r="K661" s="425">
        <v>28440.09116</v>
      </c>
      <c r="L661" s="542" t="s">
        <v>622</v>
      </c>
      <c r="M661" s="430" t="s">
        <v>700</v>
      </c>
      <c r="N661" s="206">
        <v>1629.3969199999999</v>
      </c>
      <c r="O661" s="546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8"/>
    </row>
    <row r="662" spans="1:34" ht="15">
      <c r="A662" s="424">
        <v>304010</v>
      </c>
      <c r="B662" t="str">
        <f t="shared" si="22"/>
        <v>SEVROLL bezp.fólie 500mm/50m transparentne</v>
      </c>
      <c r="C662" s="209">
        <f t="shared" si="23"/>
        <v>74.818820000000002</v>
      </c>
      <c r="D662" s="542" t="s">
        <v>3922</v>
      </c>
      <c r="E662" s="542" t="s">
        <v>1583</v>
      </c>
      <c r="F662" s="542" t="s">
        <v>3923</v>
      </c>
      <c r="G662" s="542" t="s">
        <v>1584</v>
      </c>
      <c r="H662" s="426">
        <v>2154.96704</v>
      </c>
      <c r="I662" s="425">
        <v>74.818820000000002</v>
      </c>
      <c r="J662" s="425">
        <v>273.48342000000002</v>
      </c>
      <c r="K662" s="425">
        <v>24416.386740000002</v>
      </c>
      <c r="L662" s="542" t="s">
        <v>622</v>
      </c>
      <c r="M662" s="423" t="s">
        <v>699</v>
      </c>
      <c r="N662" s="206">
        <v>1631.2900999999999</v>
      </c>
      <c r="O662" s="546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  <c r="AA662" s="197"/>
      <c r="AB662" s="197"/>
      <c r="AC662" s="197"/>
      <c r="AD662" s="197"/>
      <c r="AE662" s="197"/>
      <c r="AF662" s="197"/>
      <c r="AG662" s="197"/>
      <c r="AH662" s="198"/>
    </row>
    <row r="663" spans="1:34" ht="15">
      <c r="A663" s="427">
        <v>248420</v>
      </c>
      <c r="B663" t="str">
        <f t="shared" si="22"/>
        <v>AST-Prestige krycia lišta 4m CE802TX</v>
      </c>
      <c r="C663" s="209" t="e">
        <f t="shared" si="23"/>
        <v>#N/A</v>
      </c>
      <c r="D663" s="542" t="s">
        <v>1339</v>
      </c>
      <c r="E663" s="542" t="s">
        <v>1341</v>
      </c>
      <c r="F663" s="542" t="s">
        <v>1340</v>
      </c>
      <c r="G663" s="542" t="s">
        <v>1342</v>
      </c>
      <c r="H663" s="426">
        <v>1839.67056</v>
      </c>
      <c r="I663" s="425" t="e">
        <v>#N/A</v>
      </c>
      <c r="J663" s="425">
        <v>275.72237999999999</v>
      </c>
      <c r="K663" s="425">
        <v>22141.839619999999</v>
      </c>
      <c r="L663" s="542" t="s">
        <v>622</v>
      </c>
      <c r="M663" s="428" t="s">
        <v>699</v>
      </c>
      <c r="N663" s="206">
        <v>1679.0644</v>
      </c>
      <c r="O663" s="546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  <c r="AA663" s="197"/>
      <c r="AB663" s="197"/>
      <c r="AC663" s="197"/>
      <c r="AD663" s="197"/>
      <c r="AE663" s="197"/>
      <c r="AF663" s="197"/>
      <c r="AG663" s="197"/>
      <c r="AH663" s="198"/>
    </row>
    <row r="664" spans="1:34" ht="15">
      <c r="A664" s="427">
        <v>195457</v>
      </c>
      <c r="B664" t="str">
        <f t="shared" si="22"/>
        <v>ASTIN krycia lišta 5,4m oliva lak.</v>
      </c>
      <c r="C664" s="209" t="e">
        <f t="shared" si="23"/>
        <v>#N/A</v>
      </c>
      <c r="D664" s="542" t="s">
        <v>3965</v>
      </c>
      <c r="E664" s="542" t="s">
        <v>806</v>
      </c>
      <c r="F664" s="542" t="s">
        <v>3966</v>
      </c>
      <c r="G664" s="542" t="s">
        <v>809</v>
      </c>
      <c r="H664" s="426">
        <v>1866.2918400000001</v>
      </c>
      <c r="I664" s="425" t="e">
        <v>#N/A</v>
      </c>
      <c r="J664" s="425">
        <v>279.71228000000002</v>
      </c>
      <c r="K664" s="425">
        <v>22462.247050000002</v>
      </c>
      <c r="L664" s="542" t="s">
        <v>622</v>
      </c>
      <c r="M664" s="428" t="s">
        <v>699</v>
      </c>
      <c r="N664" s="206">
        <v>1703.3616</v>
      </c>
      <c r="O664" s="546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  <c r="AC664" s="197"/>
      <c r="AD664" s="197"/>
      <c r="AE664" s="197"/>
      <c r="AF664" s="197"/>
      <c r="AG664" s="197"/>
      <c r="AH664" s="198"/>
    </row>
    <row r="665" spans="1:34" ht="15">
      <c r="A665" s="429">
        <v>223525</v>
      </c>
      <c r="B665" t="str">
        <f t="shared" si="22"/>
        <v>SEVROLL Herkules sada kovania120kg, 3m</v>
      </c>
      <c r="C665" s="209">
        <f t="shared" si="23"/>
        <v>108.468</v>
      </c>
      <c r="D665" s="542" t="s">
        <v>3634</v>
      </c>
      <c r="E665" s="542" t="s">
        <v>1319</v>
      </c>
      <c r="F665" s="542" t="s">
        <v>3635</v>
      </c>
      <c r="G665" s="542" t="s">
        <v>2824</v>
      </c>
      <c r="H665" s="426">
        <v>2740.57404</v>
      </c>
      <c r="I665" s="425">
        <v>108.468</v>
      </c>
      <c r="J665" s="425">
        <v>315.62</v>
      </c>
      <c r="K665" s="425">
        <v>30810.77072</v>
      </c>
      <c r="L665" s="542" t="s">
        <v>622</v>
      </c>
      <c r="M665" s="430" t="s">
        <v>700</v>
      </c>
      <c r="N665" s="206">
        <v>1746.7740799999999</v>
      </c>
      <c r="O665" s="546"/>
    </row>
    <row r="666" spans="1:34" ht="15">
      <c r="A666" s="427">
        <v>195451</v>
      </c>
      <c r="B666" t="str">
        <f t="shared" si="22"/>
        <v>ASTIN horné vedenie 5,4m oliva lak.</v>
      </c>
      <c r="C666" s="209" t="e">
        <f t="shared" si="23"/>
        <v>#N/A</v>
      </c>
      <c r="D666" s="542" t="s">
        <v>3967</v>
      </c>
      <c r="E666" s="542" t="s">
        <v>802</v>
      </c>
      <c r="F666" s="542" t="s">
        <v>3968</v>
      </c>
      <c r="G666" s="542" t="s">
        <v>803</v>
      </c>
      <c r="H666" s="426">
        <v>1973.4775199999999</v>
      </c>
      <c r="I666" s="425" t="e">
        <v>#N/A</v>
      </c>
      <c r="J666" s="425">
        <v>295.77683000000002</v>
      </c>
      <c r="K666" s="425">
        <v>23752.308529999998</v>
      </c>
      <c r="L666" s="542" t="s">
        <v>622</v>
      </c>
      <c r="M666" s="428" t="s">
        <v>699</v>
      </c>
      <c r="N666" s="206">
        <v>1801.1898000000001</v>
      </c>
      <c r="O666" s="546"/>
    </row>
    <row r="667" spans="1:34" ht="15">
      <c r="A667" s="427">
        <v>248459</v>
      </c>
      <c r="B667" t="str">
        <f t="shared" si="22"/>
        <v>AST-Prestige horné vedenie 4m CE802TX</v>
      </c>
      <c r="C667" s="209" t="e">
        <f t="shared" si="23"/>
        <v>#N/A</v>
      </c>
      <c r="D667" s="542" t="s">
        <v>1347</v>
      </c>
      <c r="E667" s="542" t="s">
        <v>1349</v>
      </c>
      <c r="F667" s="542" t="s">
        <v>1348</v>
      </c>
      <c r="G667" s="542" t="s">
        <v>1350</v>
      </c>
      <c r="H667" s="426">
        <v>2206.7640000000001</v>
      </c>
      <c r="I667" s="425" t="e">
        <v>#N/A</v>
      </c>
      <c r="J667" s="425">
        <v>330.74086</v>
      </c>
      <c r="K667" s="425">
        <v>26560.089400000001</v>
      </c>
      <c r="L667" s="542" t="s">
        <v>622</v>
      </c>
      <c r="M667" s="428" t="s">
        <v>699</v>
      </c>
      <c r="N667" s="206">
        <v>2014.11</v>
      </c>
      <c r="O667" s="546"/>
    </row>
    <row r="668" spans="1:34" ht="15">
      <c r="A668" s="429">
        <v>317377</v>
      </c>
      <c r="B668" t="str">
        <f t="shared" ref="B668:B731" si="24">IF($A$2=1,D668,IF($A$2=2,F668,IF($A$2=3,G668,IF($A$2=4,E668,"zadat jazyk"))))</f>
        <v/>
      </c>
      <c r="C668" s="209">
        <f t="shared" si="23"/>
        <v>122.15907</v>
      </c>
      <c r="D668" s="542" t="s">
        <v>3652</v>
      </c>
      <c r="E668" s="542" t="s">
        <v>2757</v>
      </c>
      <c r="F668" s="542" t="s">
        <v>84</v>
      </c>
      <c r="G668" s="542" t="s">
        <v>2832</v>
      </c>
      <c r="H668" s="426">
        <v>3087.0009599999998</v>
      </c>
      <c r="I668" s="425">
        <v>122.15907</v>
      </c>
      <c r="J668" s="425">
        <v>355.51</v>
      </c>
      <c r="K668" s="425">
        <v>34705.458559999999</v>
      </c>
      <c r="L668" s="542" t="s">
        <v>622</v>
      </c>
      <c r="M668" s="430" t="s">
        <v>700</v>
      </c>
      <c r="N668" s="206">
        <v>2076.1873999999998</v>
      </c>
      <c r="O668" s="546"/>
    </row>
    <row r="669" spans="1:34" ht="15">
      <c r="A669" s="424">
        <v>227196</v>
      </c>
      <c r="B669" t="str">
        <f t="shared" si="24"/>
        <v>SEVROLL Comfort horné vedenie 6m strieborné</v>
      </c>
      <c r="C669" s="209">
        <f t="shared" si="23"/>
        <v>113.67446</v>
      </c>
      <c r="D669" s="542" t="s">
        <v>3875</v>
      </c>
      <c r="E669" s="542" t="s">
        <v>1141</v>
      </c>
      <c r="F669" s="542" t="s">
        <v>3876</v>
      </c>
      <c r="G669" s="542" t="s">
        <v>1656</v>
      </c>
      <c r="H669" s="426">
        <v>3050.9721599999998</v>
      </c>
      <c r="I669" s="425">
        <v>113.67446</v>
      </c>
      <c r="J669" s="425">
        <v>391.73</v>
      </c>
      <c r="K669" s="425">
        <v>34568.37846</v>
      </c>
      <c r="L669" s="542" t="s">
        <v>622</v>
      </c>
      <c r="M669" s="423" t="s">
        <v>699</v>
      </c>
      <c r="N669" s="206">
        <v>2099.0529000000001</v>
      </c>
      <c r="O669" s="546"/>
    </row>
    <row r="670" spans="1:34" ht="15">
      <c r="A670" s="424">
        <v>212763</v>
      </c>
      <c r="B670" t="str">
        <f t="shared" si="24"/>
        <v>SEVROLL Line sada kovania pre 2 krídla-ľavá</v>
      </c>
      <c r="C670" s="209">
        <f t="shared" si="23"/>
        <v>106.46737</v>
      </c>
      <c r="D670" s="542" t="s">
        <v>3540</v>
      </c>
      <c r="E670" s="542" t="s">
        <v>929</v>
      </c>
      <c r="F670" s="542" t="s">
        <v>3541</v>
      </c>
      <c r="G670" s="542" t="s">
        <v>2074</v>
      </c>
      <c r="H670" s="426">
        <v>3067.3407999999999</v>
      </c>
      <c r="I670" s="425">
        <v>106.46737</v>
      </c>
      <c r="J670" s="425">
        <v>378.14</v>
      </c>
      <c r="K670" s="425">
        <v>34753.839769999999</v>
      </c>
      <c r="L670" s="542" t="s">
        <v>622</v>
      </c>
      <c r="M670" s="423" t="s">
        <v>700</v>
      </c>
      <c r="N670" s="206">
        <v>2215.9935999999998</v>
      </c>
      <c r="O670" s="546"/>
    </row>
    <row r="671" spans="1:34" ht="15">
      <c r="A671" s="424">
        <v>212764</v>
      </c>
      <c r="B671" t="str">
        <f t="shared" si="24"/>
        <v>SEVROLL Line sada kovania pre 2krídla- pravá</v>
      </c>
      <c r="C671" s="209">
        <f t="shared" si="23"/>
        <v>106.46737</v>
      </c>
      <c r="D671" s="542" t="s">
        <v>3538</v>
      </c>
      <c r="E671" s="542" t="s">
        <v>930</v>
      </c>
      <c r="F671" s="542" t="s">
        <v>3539</v>
      </c>
      <c r="G671" s="542" t="s">
        <v>2075</v>
      </c>
      <c r="H671" s="426">
        <v>3067.3407999999999</v>
      </c>
      <c r="I671" s="425">
        <v>106.46737</v>
      </c>
      <c r="J671" s="425">
        <v>378.14</v>
      </c>
      <c r="K671" s="425">
        <v>34753.839769999999</v>
      </c>
      <c r="L671" s="542" t="s">
        <v>622</v>
      </c>
      <c r="M671" s="423" t="s">
        <v>700</v>
      </c>
      <c r="N671" s="206">
        <v>2215.9935999999998</v>
      </c>
      <c r="O671" s="546"/>
    </row>
    <row r="672" spans="1:34" ht="15">
      <c r="A672" s="424">
        <v>227197</v>
      </c>
      <c r="B672" t="str">
        <f t="shared" si="24"/>
        <v>SEVROLL Comfort horné vedenie 6m oliva</v>
      </c>
      <c r="C672" s="209">
        <f t="shared" si="23"/>
        <v>125.02745</v>
      </c>
      <c r="D672" s="542" t="s">
        <v>3877</v>
      </c>
      <c r="E672" s="542" t="s">
        <v>1142</v>
      </c>
      <c r="F672" s="542" t="s">
        <v>3878</v>
      </c>
      <c r="G672" s="542" t="s">
        <v>1657</v>
      </c>
      <c r="H672" s="426">
        <v>3355.5711999999999</v>
      </c>
      <c r="I672" s="425">
        <v>125.02745</v>
      </c>
      <c r="J672" s="425">
        <v>430.88</v>
      </c>
      <c r="K672" s="425">
        <v>38019.571819999997</v>
      </c>
      <c r="L672" s="542" t="s">
        <v>622</v>
      </c>
      <c r="M672" s="423" t="s">
        <v>699</v>
      </c>
      <c r="N672" s="206">
        <v>2308.7622000000001</v>
      </c>
      <c r="O672" s="546"/>
    </row>
    <row r="673" spans="1:15" ht="15">
      <c r="A673" s="429">
        <v>213362</v>
      </c>
      <c r="B673" t="str">
        <f t="shared" si="24"/>
        <v>SEVROLL Herkules Glass sada kov.100kg + 2m</v>
      </c>
      <c r="C673" s="209">
        <f t="shared" si="23"/>
        <v>175.95920000000001</v>
      </c>
      <c r="D673" s="542" t="s">
        <v>3650</v>
      </c>
      <c r="E673" s="542" t="s">
        <v>1306</v>
      </c>
      <c r="F673" s="542" t="s">
        <v>3651</v>
      </c>
      <c r="G673" s="542" t="s">
        <v>2831</v>
      </c>
      <c r="H673" s="426">
        <v>4444.7362800000001</v>
      </c>
      <c r="I673" s="425">
        <v>175.95920000000001</v>
      </c>
      <c r="J673" s="425">
        <v>511.87</v>
      </c>
      <c r="K673" s="425">
        <v>49969.732049999999</v>
      </c>
      <c r="L673" s="542" t="s">
        <v>622</v>
      </c>
      <c r="M673" s="430" t="s">
        <v>700</v>
      </c>
      <c r="N673" s="206">
        <v>2809.47912</v>
      </c>
      <c r="O673" s="546"/>
    </row>
    <row r="674" spans="1:15" ht="15">
      <c r="A674" s="424">
        <v>182716</v>
      </c>
      <c r="B674" t="str">
        <f t="shared" si="24"/>
        <v>SEVROLL Maxim sada líšt pre 2 dv.1,8m str.</v>
      </c>
      <c r="C674" s="209" t="e">
        <f t="shared" si="23"/>
        <v>#N/A</v>
      </c>
      <c r="D674" s="542" t="s">
        <v>4373</v>
      </c>
      <c r="E674" s="542" t="s">
        <v>2199</v>
      </c>
      <c r="F674" s="542" t="s">
        <v>4374</v>
      </c>
      <c r="G674" s="542" t="s">
        <v>2200</v>
      </c>
      <c r="H674" s="426">
        <v>4603.14624</v>
      </c>
      <c r="I674" s="425" t="e">
        <v>#N/A</v>
      </c>
      <c r="J674" s="425">
        <v>538.05861000000004</v>
      </c>
      <c r="K674" s="425">
        <v>52154.950279999997</v>
      </c>
      <c r="L674" s="542" t="s">
        <v>621</v>
      </c>
      <c r="M674" s="423" t="s">
        <v>699</v>
      </c>
      <c r="N674" s="206">
        <v>3325.9503</v>
      </c>
      <c r="O674" s="546"/>
    </row>
    <row r="675" spans="1:15" ht="15">
      <c r="A675" s="424">
        <v>98056</v>
      </c>
      <c r="B675" t="str">
        <f t="shared" si="24"/>
        <v>SEVROLL Prince sada kov.sklad.dv.1200mm str.</v>
      </c>
      <c r="C675" s="209">
        <f t="shared" si="23"/>
        <v>205.41428999999999</v>
      </c>
      <c r="D675" s="542" t="s">
        <v>3384</v>
      </c>
      <c r="E675" s="542" t="s">
        <v>2324</v>
      </c>
      <c r="F675" s="542" t="s">
        <v>3385</v>
      </c>
      <c r="G675" s="542" t="s">
        <v>2325</v>
      </c>
      <c r="H675" s="426">
        <v>6112.3192799999997</v>
      </c>
      <c r="I675" s="425">
        <v>205.41428999999999</v>
      </c>
      <c r="J675" s="425">
        <v>703.92</v>
      </c>
      <c r="K675" s="425">
        <v>68717.453049999996</v>
      </c>
      <c r="L675" s="542" t="s">
        <v>622</v>
      </c>
      <c r="M675" s="423" t="s">
        <v>699</v>
      </c>
      <c r="N675" s="206">
        <v>3847.5728199999999</v>
      </c>
      <c r="O675" s="546"/>
    </row>
    <row r="676" spans="1:15" ht="15">
      <c r="A676" s="424">
        <v>100967</v>
      </c>
      <c r="B676" t="str">
        <f t="shared" si="24"/>
        <v>SEVROLL Maxim sada líšt pre 3 dv. 2,5m str.</v>
      </c>
      <c r="C676" s="209" t="e">
        <f t="shared" si="23"/>
        <v>#N/A</v>
      </c>
      <c r="D676" s="542" t="s">
        <v>4371</v>
      </c>
      <c r="E676" s="542" t="s">
        <v>2201</v>
      </c>
      <c r="F676" s="542" t="s">
        <v>4372</v>
      </c>
      <c r="G676" s="542" t="s">
        <v>2202</v>
      </c>
      <c r="H676" s="426">
        <v>6591.5801600000004</v>
      </c>
      <c r="I676" s="425" t="e">
        <v>#N/A</v>
      </c>
      <c r="J676" s="425">
        <v>770.48527999999999</v>
      </c>
      <c r="K676" s="425">
        <v>74684.469620000003</v>
      </c>
      <c r="L676" s="542" t="s">
        <v>621</v>
      </c>
      <c r="M676" s="423" t="s">
        <v>699</v>
      </c>
      <c r="N676" s="206">
        <v>4762.5569999999998</v>
      </c>
      <c r="O676" s="546"/>
    </row>
    <row r="677" spans="1:15" ht="15">
      <c r="A677" s="424">
        <v>203857</v>
      </c>
      <c r="B677" t="str">
        <f t="shared" si="24"/>
        <v>ANB-bezp.fólia 200mm/250m transparentná</v>
      </c>
      <c r="C677" s="209" t="e">
        <f t="shared" si="23"/>
        <v>#N/A</v>
      </c>
      <c r="D677" s="542" t="s">
        <v>4715</v>
      </c>
      <c r="E677" s="542" t="s">
        <v>1383</v>
      </c>
      <c r="F677" s="542" t="s">
        <v>1382</v>
      </c>
      <c r="G677" s="542" t="s">
        <v>1194</v>
      </c>
      <c r="H677" s="426">
        <v>1856.925</v>
      </c>
      <c r="I677" s="425" t="e">
        <v>#N/A</v>
      </c>
      <c r="J677" s="425">
        <v>309.85500000000002</v>
      </c>
      <c r="K677" s="425">
        <v>26056.605670000001</v>
      </c>
      <c r="L677" s="542" t="s">
        <v>621</v>
      </c>
      <c r="M677" s="423" t="s">
        <v>699</v>
      </c>
      <c r="N677" s="206"/>
      <c r="O677" s="546"/>
    </row>
    <row r="678" spans="1:15" ht="15">
      <c r="A678" s="424">
        <v>203859</v>
      </c>
      <c r="B678" t="str">
        <f t="shared" si="24"/>
        <v>ANB-bezp.fólia 200mm/250m transparentná</v>
      </c>
      <c r="C678" s="209" t="e">
        <f t="shared" si="23"/>
        <v>#N/A</v>
      </c>
      <c r="D678" s="542" t="s">
        <v>4714</v>
      </c>
      <c r="E678" s="542" t="s">
        <v>1384</v>
      </c>
      <c r="F678" s="542" t="s">
        <v>1382</v>
      </c>
      <c r="G678" s="542" t="s">
        <v>1190</v>
      </c>
      <c r="H678" s="426">
        <v>2321.15625</v>
      </c>
      <c r="I678" s="425" t="e">
        <v>#N/A</v>
      </c>
      <c r="J678" s="425">
        <v>387.31875000000002</v>
      </c>
      <c r="K678" s="425">
        <v>32570.75722</v>
      </c>
      <c r="L678" s="542" t="s">
        <v>621</v>
      </c>
      <c r="M678" s="423" t="s">
        <v>699</v>
      </c>
      <c r="N678" s="206"/>
      <c r="O678" s="546"/>
    </row>
    <row r="679" spans="1:15" ht="15">
      <c r="A679" s="424">
        <v>203860</v>
      </c>
      <c r="B679" t="str">
        <f t="shared" si="24"/>
        <v>ANB-bezp.fólia 300mm/250m transparentná</v>
      </c>
      <c r="C679" s="209" t="e">
        <f t="shared" si="23"/>
        <v>#N/A</v>
      </c>
      <c r="D679" s="542" t="s">
        <v>4713</v>
      </c>
      <c r="E679" s="542" t="s">
        <v>1386</v>
      </c>
      <c r="F679" s="542" t="s">
        <v>1385</v>
      </c>
      <c r="G679" s="542" t="s">
        <v>1191</v>
      </c>
      <c r="H679" s="426">
        <v>2785.3874999999998</v>
      </c>
      <c r="I679" s="425" t="e">
        <v>#N/A</v>
      </c>
      <c r="J679" s="425">
        <v>464.78250000000003</v>
      </c>
      <c r="K679" s="425">
        <v>39084.908499999998</v>
      </c>
      <c r="L679" s="542" t="s">
        <v>621</v>
      </c>
      <c r="M679" s="423" t="s">
        <v>699</v>
      </c>
      <c r="N679" s="206"/>
      <c r="O679" s="546"/>
    </row>
    <row r="680" spans="1:15" ht="15">
      <c r="A680" s="424">
        <v>203861</v>
      </c>
      <c r="B680" t="str">
        <f t="shared" si="24"/>
        <v>ANB-bezp.fólia 400transparentná</v>
      </c>
      <c r="C680" s="209" t="e">
        <f t="shared" si="23"/>
        <v>#N/A</v>
      </c>
      <c r="D680" s="542" t="s">
        <v>4712</v>
      </c>
      <c r="E680" s="542" t="s">
        <v>1388</v>
      </c>
      <c r="F680" s="542" t="s">
        <v>1387</v>
      </c>
      <c r="G680" s="542" t="s">
        <v>1192</v>
      </c>
      <c r="H680" s="426">
        <v>3713.85</v>
      </c>
      <c r="I680" s="425" t="e">
        <v>#N/A</v>
      </c>
      <c r="J680" s="425">
        <v>619.71</v>
      </c>
      <c r="K680" s="425">
        <v>52113.211329999998</v>
      </c>
      <c r="L680" s="542" t="s">
        <v>621</v>
      </c>
      <c r="M680" s="423" t="s">
        <v>699</v>
      </c>
      <c r="N680" s="206"/>
      <c r="O680" s="546"/>
    </row>
    <row r="681" spans="1:15" ht="15">
      <c r="A681" s="424">
        <v>203862</v>
      </c>
      <c r="B681" t="str">
        <f t="shared" si="24"/>
        <v>ANB-bezp.fólia 500mm/250m transparentná</v>
      </c>
      <c r="C681" s="209" t="e">
        <f t="shared" si="23"/>
        <v>#N/A</v>
      </c>
      <c r="D681" s="542" t="s">
        <v>4711</v>
      </c>
      <c r="E681" s="542" t="s">
        <v>1390</v>
      </c>
      <c r="F681" s="542" t="s">
        <v>1389</v>
      </c>
      <c r="G681" s="542" t="s">
        <v>1193</v>
      </c>
      <c r="H681" s="426">
        <v>4642.3125</v>
      </c>
      <c r="I681" s="425" t="e">
        <v>#N/A</v>
      </c>
      <c r="J681" s="425">
        <v>774.63750000000005</v>
      </c>
      <c r="K681" s="425">
        <v>65141.514170000002</v>
      </c>
      <c r="L681" s="542" t="s">
        <v>621</v>
      </c>
      <c r="M681" s="423" t="s">
        <v>699</v>
      </c>
      <c r="N681" s="206"/>
      <c r="O681" s="546"/>
    </row>
    <row r="682" spans="1:15" ht="15">
      <c r="A682" s="424">
        <v>89293</v>
      </c>
      <c r="B682" t="str">
        <f t="shared" si="24"/>
        <v>OKE-kefka doraz.samolep.6,7*10mm sivá</v>
      </c>
      <c r="C682" s="209" t="e">
        <f t="shared" si="23"/>
        <v>#N/A</v>
      </c>
      <c r="D682" s="542" t="s">
        <v>3124</v>
      </c>
      <c r="E682" s="542" t="s">
        <v>3125</v>
      </c>
      <c r="F682" s="542" t="s">
        <v>3126</v>
      </c>
      <c r="G682" s="542" t="s">
        <v>1365</v>
      </c>
      <c r="H682" s="426">
        <v>1E-3</v>
      </c>
      <c r="I682" s="425" t="e">
        <v>#N/A</v>
      </c>
      <c r="J682" s="425">
        <v>1E-3</v>
      </c>
      <c r="K682" s="425">
        <v>1E-3</v>
      </c>
      <c r="L682" s="542" t="s">
        <v>7984</v>
      </c>
      <c r="M682" s="423" t="s">
        <v>698</v>
      </c>
      <c r="N682" s="206"/>
      <c r="O682" s="546"/>
    </row>
    <row r="683" spans="1:15" ht="15">
      <c r="A683" s="424">
        <v>96438</v>
      </c>
      <c r="B683" t="str">
        <f t="shared" si="24"/>
        <v>KARTÁČ DORAZOVÝ SAMOLEP.  6,7*12mm hnědý</v>
      </c>
      <c r="C683" s="209" t="e">
        <f t="shared" si="23"/>
        <v>#N/A</v>
      </c>
      <c r="D683" s="542" t="s">
        <v>3937</v>
      </c>
      <c r="E683" s="542" t="s">
        <v>1358</v>
      </c>
      <c r="F683" s="542" t="s">
        <v>1357</v>
      </c>
      <c r="G683" s="542" t="s">
        <v>1359</v>
      </c>
      <c r="H683" s="426">
        <v>15.84</v>
      </c>
      <c r="I683" s="425" t="e">
        <v>#N/A</v>
      </c>
      <c r="J683" s="425">
        <v>2.5730900000000001</v>
      </c>
      <c r="K683" s="425">
        <v>229.72377</v>
      </c>
      <c r="L683" s="542" t="s">
        <v>622</v>
      </c>
      <c r="M683" s="423" t="s">
        <v>698</v>
      </c>
      <c r="N683" s="206"/>
      <c r="O683" s="546"/>
    </row>
    <row r="684" spans="1:15" ht="15">
      <c r="A684" s="424">
        <v>89290</v>
      </c>
      <c r="B684" t="str">
        <f t="shared" si="24"/>
        <v>KEFKA DORAZOVÁ SAMOLEP 6,7*3mm sivá</v>
      </c>
      <c r="C684" s="209" t="e">
        <f t="shared" si="23"/>
        <v>#N/A</v>
      </c>
      <c r="D684" s="542" t="s">
        <v>3934</v>
      </c>
      <c r="E684" s="542" t="s">
        <v>1361</v>
      </c>
      <c r="F684" s="542" t="s">
        <v>3935</v>
      </c>
      <c r="G684" s="542" t="s">
        <v>1362</v>
      </c>
      <c r="H684" s="426">
        <v>14.49</v>
      </c>
      <c r="I684" s="425" t="e">
        <v>#N/A</v>
      </c>
      <c r="J684" s="425">
        <v>2.16797</v>
      </c>
      <c r="K684" s="425">
        <v>210.14502999999999</v>
      </c>
      <c r="L684" s="542" t="s">
        <v>622</v>
      </c>
      <c r="M684" s="423" t="s">
        <v>698</v>
      </c>
      <c r="N684" s="206"/>
      <c r="O684" s="546"/>
    </row>
    <row r="685" spans="1:15" ht="15">
      <c r="A685" s="424">
        <v>89291</v>
      </c>
      <c r="B685" t="str">
        <f t="shared" si="24"/>
        <v>OKE-kefkadoraz.samolep.6,7*5mm sivý</v>
      </c>
      <c r="C685" s="209" t="e">
        <f t="shared" si="23"/>
        <v>#N/A</v>
      </c>
      <c r="D685" s="542" t="s">
        <v>3931</v>
      </c>
      <c r="E685" s="542" t="s">
        <v>1363</v>
      </c>
      <c r="F685" s="542" t="s">
        <v>3932</v>
      </c>
      <c r="G685" s="542" t="s">
        <v>1364</v>
      </c>
      <c r="H685" s="426">
        <v>15.48</v>
      </c>
      <c r="I685" s="425" t="e">
        <v>#N/A</v>
      </c>
      <c r="J685" s="425">
        <v>2.31609</v>
      </c>
      <c r="K685" s="425">
        <v>224.50277</v>
      </c>
      <c r="L685" s="542" t="s">
        <v>622</v>
      </c>
      <c r="M685" s="423" t="s">
        <v>698</v>
      </c>
      <c r="N685" s="206"/>
      <c r="O685" s="546"/>
    </row>
    <row r="686" spans="1:15" ht="15">
      <c r="A686" s="424">
        <v>89292</v>
      </c>
      <c r="B686" t="str">
        <f t="shared" si="24"/>
        <v>OKE-kefka doraz.samolep.6,7*8mm sivá</v>
      </c>
      <c r="C686" s="209" t="e">
        <f t="shared" si="23"/>
        <v>#N/A</v>
      </c>
      <c r="D686" s="542" t="s">
        <v>3127</v>
      </c>
      <c r="E686" s="542" t="s">
        <v>3128</v>
      </c>
      <c r="F686" s="542" t="s">
        <v>3129</v>
      </c>
      <c r="G686" s="542" t="s">
        <v>864</v>
      </c>
      <c r="H686" s="426">
        <v>11.62</v>
      </c>
      <c r="I686" s="425" t="e">
        <v>#N/A</v>
      </c>
      <c r="J686" s="425">
        <v>1.8875900000000001</v>
      </c>
      <c r="K686" s="425">
        <v>168.52209999999999</v>
      </c>
      <c r="L686" s="542" t="s">
        <v>623</v>
      </c>
      <c r="M686" s="423" t="s">
        <v>698</v>
      </c>
      <c r="N686" s="206"/>
      <c r="O686" s="546"/>
    </row>
    <row r="687" spans="1:15" ht="15">
      <c r="A687" s="424">
        <v>89294</v>
      </c>
      <c r="B687" t="str">
        <f t="shared" si="24"/>
        <v>OKE-kefka samolep.6,7*12mm sivá</v>
      </c>
      <c r="C687" s="209" t="e">
        <f t="shared" si="23"/>
        <v>#N/A</v>
      </c>
      <c r="D687" s="542" t="s">
        <v>3122</v>
      </c>
      <c r="E687" s="542" t="s">
        <v>1572</v>
      </c>
      <c r="F687" s="542" t="s">
        <v>3123</v>
      </c>
      <c r="G687" s="542" t="s">
        <v>1267</v>
      </c>
      <c r="H687" s="426">
        <v>1E-3</v>
      </c>
      <c r="I687" s="425" t="e">
        <v>#N/A</v>
      </c>
      <c r="J687" s="425">
        <v>1E-3</v>
      </c>
      <c r="K687" s="425">
        <v>1E-3</v>
      </c>
      <c r="L687" s="542" t="s">
        <v>7984</v>
      </c>
      <c r="M687" s="423" t="s">
        <v>698</v>
      </c>
      <c r="N687" s="206"/>
      <c r="O687" s="546"/>
    </row>
    <row r="688" spans="1:15" ht="15">
      <c r="A688" s="424">
        <v>362252</v>
      </c>
      <c r="B688" t="str">
        <f t="shared" si="24"/>
        <v>SEV-2x spodný vozík WD18V bez pozicionéru, s pružinou</v>
      </c>
      <c r="C688" s="209">
        <f t="shared" si="23"/>
        <v>4.8449</v>
      </c>
      <c r="D688" s="542" t="s">
        <v>4080</v>
      </c>
      <c r="E688" s="542" t="s">
        <v>3005</v>
      </c>
      <c r="F688" s="542" t="s">
        <v>4081</v>
      </c>
      <c r="G688" s="542" t="s">
        <v>3006</v>
      </c>
      <c r="H688" s="426">
        <v>130.23743999999999</v>
      </c>
      <c r="I688" s="425">
        <v>4.8449</v>
      </c>
      <c r="J688" s="425">
        <v>24.93</v>
      </c>
      <c r="K688" s="425">
        <v>1475.62708</v>
      </c>
      <c r="L688" s="542" t="s">
        <v>1025</v>
      </c>
      <c r="M688" s="423" t="s">
        <v>700</v>
      </c>
      <c r="N688" s="206"/>
      <c r="O688" s="546"/>
    </row>
    <row r="689" spans="1:15" ht="15">
      <c r="A689" s="424">
        <v>89117</v>
      </c>
      <c r="B689" t="str">
        <f t="shared" si="24"/>
        <v>SEVROLL Cleft spodné vedenie 1,7m oliva</v>
      </c>
      <c r="C689" s="209">
        <f t="shared" si="23"/>
        <v>6.5603600000000002</v>
      </c>
      <c r="D689" s="542" t="s">
        <v>3120</v>
      </c>
      <c r="E689" s="542" t="s">
        <v>1621</v>
      </c>
      <c r="F689" s="542" t="s">
        <v>3121</v>
      </c>
      <c r="G689" s="542" t="s">
        <v>1622</v>
      </c>
      <c r="H689" s="426">
        <v>232.12475000000001</v>
      </c>
      <c r="I689" s="425">
        <v>6.5603600000000002</v>
      </c>
      <c r="J689" s="425">
        <v>16.865919999999999</v>
      </c>
      <c r="K689" s="425">
        <v>2502.7624300000002</v>
      </c>
      <c r="L689" s="542" t="s">
        <v>623</v>
      </c>
      <c r="M689" s="423" t="s">
        <v>699</v>
      </c>
      <c r="N689" s="206"/>
      <c r="O689" s="546"/>
    </row>
    <row r="690" spans="1:15" ht="15">
      <c r="A690" s="424">
        <v>89118</v>
      </c>
      <c r="B690" t="str">
        <f t="shared" si="24"/>
        <v>SEVROLL Cleft spodné vedenie 1,7m strieborná</v>
      </c>
      <c r="C690" s="209">
        <f t="shared" si="23"/>
        <v>6.5603600000000002</v>
      </c>
      <c r="D690" s="542" t="s">
        <v>3118</v>
      </c>
      <c r="E690" s="542" t="s">
        <v>1623</v>
      </c>
      <c r="F690" s="542" t="s">
        <v>3119</v>
      </c>
      <c r="G690" s="542" t="s">
        <v>1624</v>
      </c>
      <c r="H690" s="426">
        <v>232.12475000000001</v>
      </c>
      <c r="I690" s="425">
        <v>6.5603600000000002</v>
      </c>
      <c r="J690" s="425">
        <v>13.550890000000001</v>
      </c>
      <c r="K690" s="425">
        <v>2502.7624300000002</v>
      </c>
      <c r="L690" s="542" t="s">
        <v>623</v>
      </c>
      <c r="M690" s="423" t="s">
        <v>699</v>
      </c>
      <c r="N690" s="206"/>
      <c r="O690" s="546"/>
    </row>
    <row r="691" spans="1:15" ht="15">
      <c r="A691" s="424">
        <v>89116</v>
      </c>
      <c r="B691" t="str">
        <f t="shared" si="24"/>
        <v>SEVROLL spodné vedenie 1,7m zlatá</v>
      </c>
      <c r="C691" s="209">
        <f t="shared" si="23"/>
        <v>6.5603600000000002</v>
      </c>
      <c r="D691" s="542" t="s">
        <v>3893</v>
      </c>
      <c r="E691" s="542" t="s">
        <v>3894</v>
      </c>
      <c r="F691" s="542" t="s">
        <v>3895</v>
      </c>
      <c r="G691" s="542" t="s">
        <v>1625</v>
      </c>
      <c r="H691" s="426">
        <v>232.12475000000001</v>
      </c>
      <c r="I691" s="425">
        <v>6.5603600000000002</v>
      </c>
      <c r="J691" s="425">
        <v>17.156700000000001</v>
      </c>
      <c r="K691" s="425">
        <v>2502.7624300000002</v>
      </c>
      <c r="L691" s="542" t="s">
        <v>623</v>
      </c>
      <c r="M691" s="423" t="s">
        <v>699</v>
      </c>
      <c r="N691" s="206"/>
      <c r="O691" s="546"/>
    </row>
    <row r="692" spans="1:15" ht="15">
      <c r="A692" s="424">
        <v>89120</v>
      </c>
      <c r="B692" t="str">
        <f t="shared" si="24"/>
        <v>SEVROLL Cleft spodné vedenie 2,35m oliva</v>
      </c>
      <c r="C692" s="209" t="e">
        <f t="shared" si="23"/>
        <v>#N/A</v>
      </c>
      <c r="D692" s="542" t="s">
        <v>3114</v>
      </c>
      <c r="E692" s="542" t="s">
        <v>1626</v>
      </c>
      <c r="F692" s="542" t="s">
        <v>3115</v>
      </c>
      <c r="G692" s="542" t="s">
        <v>1627</v>
      </c>
      <c r="H692" s="426">
        <v>1E-3</v>
      </c>
      <c r="I692" s="425" t="e">
        <v>#N/A</v>
      </c>
      <c r="J692" s="425">
        <v>1E-3</v>
      </c>
      <c r="K692" s="425">
        <v>1E-3</v>
      </c>
      <c r="L692" s="542" t="s">
        <v>7984</v>
      </c>
      <c r="M692" s="423" t="s">
        <v>699</v>
      </c>
      <c r="N692" s="206"/>
      <c r="O692" s="546"/>
    </row>
    <row r="693" spans="1:15" ht="15">
      <c r="A693" s="424">
        <v>89121</v>
      </c>
      <c r="B693" t="str">
        <f t="shared" si="24"/>
        <v>SEVROLL Cleft spodné vedenie 2,35m strieborn</v>
      </c>
      <c r="C693" s="209" t="e">
        <f t="shared" si="23"/>
        <v>#N/A</v>
      </c>
      <c r="D693" s="542" t="s">
        <v>3112</v>
      </c>
      <c r="E693" s="542" t="s">
        <v>1628</v>
      </c>
      <c r="F693" s="542" t="s">
        <v>3113</v>
      </c>
      <c r="G693" s="542" t="s">
        <v>1629</v>
      </c>
      <c r="H693" s="426">
        <v>1E-3</v>
      </c>
      <c r="I693" s="425" t="e">
        <v>#N/A</v>
      </c>
      <c r="J693" s="425">
        <v>1E-3</v>
      </c>
      <c r="K693" s="425">
        <v>1E-3</v>
      </c>
      <c r="L693" s="542" t="s">
        <v>7984</v>
      </c>
      <c r="M693" s="423" t="s">
        <v>699</v>
      </c>
      <c r="N693" s="206"/>
      <c r="O693" s="546"/>
    </row>
    <row r="694" spans="1:15" ht="15">
      <c r="A694" s="424">
        <v>89123</v>
      </c>
      <c r="B694" t="str">
        <f t="shared" si="24"/>
        <v>SEVROLL Cleft spodné vedenie 3m oliva</v>
      </c>
      <c r="C694" s="209" t="e">
        <f t="shared" si="23"/>
        <v>#N/A</v>
      </c>
      <c r="D694" s="542" t="s">
        <v>3110</v>
      </c>
      <c r="E694" s="542" t="s">
        <v>1630</v>
      </c>
      <c r="F694" s="542" t="s">
        <v>3111</v>
      </c>
      <c r="G694" s="542" t="s">
        <v>1631</v>
      </c>
      <c r="H694" s="426">
        <v>1E-3</v>
      </c>
      <c r="I694" s="425" t="e">
        <v>#N/A</v>
      </c>
      <c r="J694" s="425">
        <v>1E-3</v>
      </c>
      <c r="K694" s="425">
        <v>1E-3</v>
      </c>
      <c r="L694" s="542" t="s">
        <v>7984</v>
      </c>
      <c r="M694" s="423" t="s">
        <v>699</v>
      </c>
      <c r="N694" s="206"/>
      <c r="O694" s="546"/>
    </row>
    <row r="695" spans="1:15" ht="15">
      <c r="A695" s="424">
        <v>89124</v>
      </c>
      <c r="B695" t="str">
        <f t="shared" si="24"/>
        <v>SEVROLL Cleft spodné vedenie 3m strieborná</v>
      </c>
      <c r="C695" s="209" t="e">
        <f t="shared" si="23"/>
        <v>#N/A</v>
      </c>
      <c r="D695" s="542" t="s">
        <v>3108</v>
      </c>
      <c r="E695" s="542" t="s">
        <v>1632</v>
      </c>
      <c r="F695" s="542" t="s">
        <v>3109</v>
      </c>
      <c r="G695" s="542" t="s">
        <v>1633</v>
      </c>
      <c r="H695" s="426">
        <v>1E-3</v>
      </c>
      <c r="I695" s="425" t="e">
        <v>#N/A</v>
      </c>
      <c r="J695" s="425">
        <v>1E-3</v>
      </c>
      <c r="K695" s="425">
        <v>1E-3</v>
      </c>
      <c r="L695" s="542" t="s">
        <v>7984</v>
      </c>
      <c r="M695" s="423" t="s">
        <v>699</v>
      </c>
      <c r="N695" s="206"/>
      <c r="O695" s="546"/>
    </row>
    <row r="696" spans="1:15" ht="15">
      <c r="A696" s="424">
        <v>89122</v>
      </c>
      <c r="B696" t="str">
        <f t="shared" si="24"/>
        <v>SEVROLL spodné vedenie 3m zlatá</v>
      </c>
      <c r="C696" s="209">
        <f t="shared" si="23"/>
        <v>11.426310000000001</v>
      </c>
      <c r="D696" s="542" t="s">
        <v>3106</v>
      </c>
      <c r="E696" s="542" t="s">
        <v>1634</v>
      </c>
      <c r="F696" s="542" t="s">
        <v>3107</v>
      </c>
      <c r="G696" s="542" t="s">
        <v>1635</v>
      </c>
      <c r="H696" s="426">
        <v>404.29674999999997</v>
      </c>
      <c r="I696" s="425">
        <v>11.426310000000001</v>
      </c>
      <c r="J696" s="425">
        <v>29.718910000000001</v>
      </c>
      <c r="K696" s="425">
        <v>4359.1160300000001</v>
      </c>
      <c r="L696" s="542" t="s">
        <v>623</v>
      </c>
      <c r="M696" s="423" t="s">
        <v>699</v>
      </c>
      <c r="N696" s="206"/>
      <c r="O696" s="546"/>
    </row>
    <row r="697" spans="1:15" ht="15">
      <c r="A697" s="424">
        <v>89126</v>
      </c>
      <c r="B697" t="str">
        <f t="shared" si="24"/>
        <v>SEVROLL Cleft spodné vedenie 4,05m oliva</v>
      </c>
      <c r="C697" s="209" t="e">
        <f t="shared" si="23"/>
        <v>#N/A</v>
      </c>
      <c r="D697" s="542" t="s">
        <v>3104</v>
      </c>
      <c r="E697" s="542" t="s">
        <v>1636</v>
      </c>
      <c r="F697" s="542" t="s">
        <v>3105</v>
      </c>
      <c r="G697" s="542" t="s">
        <v>1637</v>
      </c>
      <c r="H697" s="426">
        <v>1E-3</v>
      </c>
      <c r="I697" s="425" t="e">
        <v>#N/A</v>
      </c>
      <c r="J697" s="425">
        <v>1E-3</v>
      </c>
      <c r="K697" s="425">
        <v>1E-3</v>
      </c>
      <c r="L697" s="542" t="s">
        <v>7984</v>
      </c>
      <c r="M697" s="423" t="s">
        <v>699</v>
      </c>
      <c r="N697" s="206"/>
      <c r="O697" s="546"/>
    </row>
    <row r="698" spans="1:15" ht="15">
      <c r="A698" s="424">
        <v>89127</v>
      </c>
      <c r="B698" t="str">
        <f t="shared" si="24"/>
        <v>SEVROLL Cleft spodné vedenie 4,05m strieborn</v>
      </c>
      <c r="C698" s="209" t="e">
        <f t="shared" si="23"/>
        <v>#N/A</v>
      </c>
      <c r="D698" s="542" t="s">
        <v>3102</v>
      </c>
      <c r="E698" s="542" t="s">
        <v>1638</v>
      </c>
      <c r="F698" s="542" t="s">
        <v>3103</v>
      </c>
      <c r="G698" s="542" t="s">
        <v>1639</v>
      </c>
      <c r="H698" s="426">
        <v>1E-3</v>
      </c>
      <c r="I698" s="425" t="e">
        <v>#N/A</v>
      </c>
      <c r="J698" s="425">
        <v>1E-3</v>
      </c>
      <c r="K698" s="425">
        <v>1E-3</v>
      </c>
      <c r="L698" s="542" t="s">
        <v>7984</v>
      </c>
      <c r="M698" s="423" t="s">
        <v>699</v>
      </c>
      <c r="N698" s="206"/>
      <c r="O698" s="546"/>
    </row>
    <row r="699" spans="1:15" ht="15">
      <c r="A699" s="424">
        <v>89125</v>
      </c>
      <c r="B699" t="str">
        <f t="shared" si="24"/>
        <v>SEVROLL spodné vedenie 4,05m zlatá</v>
      </c>
      <c r="C699" s="209">
        <f t="shared" ref="C699:C762" si="25">IF($A$2=1,H699,IF($A$2=2,I699,IF($A$2=3,J699,IF($A$2=4,K699,"zadat jazyk"))))</f>
        <v>14.684760000000001</v>
      </c>
      <c r="D699" s="542" t="s">
        <v>3100</v>
      </c>
      <c r="E699" s="542" t="s">
        <v>1640</v>
      </c>
      <c r="F699" s="542" t="s">
        <v>3101</v>
      </c>
      <c r="G699" s="542" t="s">
        <v>1641</v>
      </c>
      <c r="H699" s="426">
        <v>519.59050000000002</v>
      </c>
      <c r="I699" s="425">
        <v>14.684760000000001</v>
      </c>
      <c r="J699" s="425">
        <v>40.943460000000002</v>
      </c>
      <c r="K699" s="425">
        <v>5602.2099500000004</v>
      </c>
      <c r="L699" s="542" t="s">
        <v>623</v>
      </c>
      <c r="M699" s="423" t="s">
        <v>699</v>
      </c>
      <c r="N699" s="206"/>
      <c r="O699" s="546"/>
    </row>
    <row r="700" spans="1:15" ht="15">
      <c r="A700" s="424">
        <v>135115</v>
      </c>
      <c r="B700" t="str">
        <f t="shared" si="24"/>
        <v>SEVROLL Cleft spodné vedenie 6m strieborná</v>
      </c>
      <c r="C700" s="209">
        <f t="shared" si="25"/>
        <v>0</v>
      </c>
      <c r="D700" s="542" t="s">
        <v>3098</v>
      </c>
      <c r="E700" s="542" t="s">
        <v>1642</v>
      </c>
      <c r="F700" s="542" t="s">
        <v>3099</v>
      </c>
      <c r="G700" s="542" t="s">
        <v>1643</v>
      </c>
      <c r="H700" s="426">
        <v>350.00414999999998</v>
      </c>
      <c r="I700" s="425">
        <v>0</v>
      </c>
      <c r="J700" s="425">
        <v>47.631680000000003</v>
      </c>
      <c r="K700" s="425">
        <v>3773.7348099999999</v>
      </c>
      <c r="L700" s="542" t="s">
        <v>623</v>
      </c>
      <c r="M700" s="423" t="s">
        <v>699</v>
      </c>
      <c r="N700" s="206"/>
      <c r="O700" s="546"/>
    </row>
    <row r="701" spans="1:15" ht="15">
      <c r="A701" s="424">
        <v>89284</v>
      </c>
      <c r="B701" t="str">
        <f t="shared" si="24"/>
        <v>SEVROLL dorazový kartáč samolep. 4,8x4mm</v>
      </c>
      <c r="C701" s="209">
        <f t="shared" si="25"/>
        <v>0.15656999999999999</v>
      </c>
      <c r="D701" s="542" t="s">
        <v>4655</v>
      </c>
      <c r="E701" s="542" t="s">
        <v>922</v>
      </c>
      <c r="F701" s="542" t="s">
        <v>4656</v>
      </c>
      <c r="G701" s="542" t="s">
        <v>1665</v>
      </c>
      <c r="H701" s="426">
        <v>4.3972199999999999</v>
      </c>
      <c r="I701" s="425">
        <v>0.15656999999999999</v>
      </c>
      <c r="J701" s="425">
        <v>0.68</v>
      </c>
      <c r="K701" s="425">
        <v>37.551720000000003</v>
      </c>
      <c r="L701" s="542" t="s">
        <v>621</v>
      </c>
      <c r="M701" s="423" t="s">
        <v>698</v>
      </c>
      <c r="N701" s="206"/>
      <c r="O701" s="546"/>
    </row>
    <row r="702" spans="1:15" ht="15">
      <c r="A702" s="424">
        <v>210545</v>
      </c>
      <c r="B702" t="str">
        <f t="shared" si="24"/>
        <v>SEV-dorazový kartáč samolep. 4,8x4mm</v>
      </c>
      <c r="C702" s="209" t="e">
        <f t="shared" si="25"/>
        <v>#N/A</v>
      </c>
      <c r="D702" s="542" t="s">
        <v>1664</v>
      </c>
      <c r="E702" s="542" t="s">
        <v>922</v>
      </c>
      <c r="F702" s="542" t="s">
        <v>862</v>
      </c>
      <c r="G702" s="542" t="s">
        <v>1665</v>
      </c>
      <c r="H702" s="426">
        <v>0</v>
      </c>
      <c r="I702" s="425" t="e">
        <v>#N/A</v>
      </c>
      <c r="J702" s="425">
        <v>0</v>
      </c>
      <c r="K702" s="425">
        <v>0</v>
      </c>
      <c r="L702" s="542" t="s">
        <v>622</v>
      </c>
      <c r="M702" s="423" t="s">
        <v>698</v>
      </c>
      <c r="N702" s="206"/>
      <c r="O702" s="546"/>
    </row>
    <row r="703" spans="1:15" ht="15">
      <c r="A703" s="424">
        <v>308639</v>
      </c>
      <c r="B703" t="str">
        <f t="shared" si="24"/>
        <v>SEVROLL protiprachový kartáč samolep. 6,7x13mm</v>
      </c>
      <c r="C703" s="209">
        <f t="shared" si="25"/>
        <v>0.28210000000000002</v>
      </c>
      <c r="D703" s="542" t="s">
        <v>4017</v>
      </c>
      <c r="E703" s="542" t="s">
        <v>4018</v>
      </c>
      <c r="F703" s="542" t="s">
        <v>4019</v>
      </c>
      <c r="G703" s="542" t="s">
        <v>1666</v>
      </c>
      <c r="H703" s="426">
        <v>7.61022</v>
      </c>
      <c r="I703" s="425">
        <v>0.28210000000000002</v>
      </c>
      <c r="J703" s="425">
        <v>1.01</v>
      </c>
      <c r="K703" s="425">
        <v>64.992400000000004</v>
      </c>
      <c r="L703" s="542" t="s">
        <v>1025</v>
      </c>
      <c r="M703" s="423" t="s">
        <v>698</v>
      </c>
      <c r="N703" s="206"/>
      <c r="O703" s="546"/>
    </row>
    <row r="704" spans="1:15" ht="15">
      <c r="A704" s="424">
        <v>89131</v>
      </c>
      <c r="B704" t="str">
        <f t="shared" si="24"/>
        <v>SEVROLL dorazový kartáč samolepiaci 6,7x4mm</v>
      </c>
      <c r="C704" s="209">
        <f t="shared" si="25"/>
        <v>0.16275999999999999</v>
      </c>
      <c r="D704" s="542" t="s">
        <v>3864</v>
      </c>
      <c r="E704" s="542" t="s">
        <v>3865</v>
      </c>
      <c r="F704" s="542" t="s">
        <v>4065</v>
      </c>
      <c r="G704" s="542" t="s">
        <v>1667</v>
      </c>
      <c r="H704" s="426">
        <v>3.4461400000000002</v>
      </c>
      <c r="I704" s="425">
        <v>0.16275999999999999</v>
      </c>
      <c r="J704" s="425">
        <v>0.85</v>
      </c>
      <c r="K704" s="425">
        <v>39.045780000000001</v>
      </c>
      <c r="L704" s="542" t="s">
        <v>1025</v>
      </c>
      <c r="M704" s="423" t="s">
        <v>698</v>
      </c>
      <c r="N704" s="206"/>
      <c r="O704" s="546"/>
    </row>
    <row r="705" spans="1:15" ht="15">
      <c r="A705" s="424">
        <v>361759</v>
      </c>
      <c r="B705" t="str">
        <f t="shared" si="24"/>
        <v>SEV-dorazový kartáč samolepiaci 6,7x9mm šedý</v>
      </c>
      <c r="C705" s="209">
        <f t="shared" si="25"/>
        <v>0.40977000000000002</v>
      </c>
      <c r="D705" s="542" t="s">
        <v>4062</v>
      </c>
      <c r="E705" s="542" t="s">
        <v>4063</v>
      </c>
      <c r="F705" s="542" t="s">
        <v>4064</v>
      </c>
      <c r="G705" s="542" t="s">
        <v>84</v>
      </c>
      <c r="H705" s="426">
        <v>11.99</v>
      </c>
      <c r="I705" s="425">
        <v>0.40977000000000002</v>
      </c>
      <c r="J705" s="425">
        <v>1.63</v>
      </c>
      <c r="K705" s="425">
        <v>120.95305</v>
      </c>
      <c r="L705" s="542" t="s">
        <v>1025</v>
      </c>
      <c r="M705" s="423" t="s">
        <v>698</v>
      </c>
      <c r="N705" s="206"/>
      <c r="O705" s="546"/>
    </row>
    <row r="706" spans="1:15" ht="15">
      <c r="A706" s="424">
        <v>98067</v>
      </c>
      <c r="B706" t="str">
        <f t="shared" si="24"/>
        <v>SEVROLL dorazový kartáč zásuvný 14,5x4mm</v>
      </c>
      <c r="C706" s="209">
        <f t="shared" si="25"/>
        <v>0.17649000000000001</v>
      </c>
      <c r="D706" s="542" t="s">
        <v>4061</v>
      </c>
      <c r="E706" s="542" t="s">
        <v>1669</v>
      </c>
      <c r="F706" s="542" t="s">
        <v>4061</v>
      </c>
      <c r="G706" s="542" t="s">
        <v>1670</v>
      </c>
      <c r="H706" s="426">
        <v>5.0490000000000004</v>
      </c>
      <c r="I706" s="425">
        <v>0.17649000000000001</v>
      </c>
      <c r="J706" s="425">
        <v>0.95</v>
      </c>
      <c r="K706" s="425">
        <v>43.12106</v>
      </c>
      <c r="L706" s="542" t="s">
        <v>1025</v>
      </c>
      <c r="M706" s="423" t="s">
        <v>698</v>
      </c>
      <c r="N706" s="206"/>
      <c r="O706" s="546"/>
    </row>
    <row r="707" spans="1:15" ht="15">
      <c r="A707" s="424">
        <v>245792</v>
      </c>
      <c r="B707" t="str">
        <f t="shared" si="24"/>
        <v>SEVROLL doraz.kartáč zásuvný 14,5x4mm-50m</v>
      </c>
      <c r="C707" s="209">
        <f t="shared" si="25"/>
        <v>18.882860000000001</v>
      </c>
      <c r="D707" s="542" t="s">
        <v>3862</v>
      </c>
      <c r="E707" s="542" t="s">
        <v>1419</v>
      </c>
      <c r="F707" s="542" t="s">
        <v>3863</v>
      </c>
      <c r="G707" s="542" t="s">
        <v>1671</v>
      </c>
      <c r="H707" s="426">
        <v>448.35840000000002</v>
      </c>
      <c r="I707" s="425">
        <v>18.882860000000001</v>
      </c>
      <c r="J707" s="425">
        <v>70.099999999999994</v>
      </c>
      <c r="K707" s="425">
        <v>5080.0276199999998</v>
      </c>
      <c r="L707" s="542" t="s">
        <v>622</v>
      </c>
      <c r="M707" s="423" t="s">
        <v>699</v>
      </c>
      <c r="N707" s="206"/>
      <c r="O707" s="546"/>
    </row>
    <row r="708" spans="1:15" ht="15">
      <c r="A708" s="424">
        <v>229433</v>
      </c>
      <c r="B708" t="str">
        <f t="shared" si="24"/>
        <v>SEVROLL dorazový kartáč zásuvný 4,8x4mm</v>
      </c>
      <c r="C708" s="209">
        <f t="shared" si="25"/>
        <v>6.4699999999999994E-2</v>
      </c>
      <c r="D708" s="542" t="s">
        <v>4060</v>
      </c>
      <c r="E708" s="542" t="s">
        <v>1221</v>
      </c>
      <c r="F708" s="542" t="s">
        <v>4060</v>
      </c>
      <c r="G708" s="542" t="s">
        <v>1672</v>
      </c>
      <c r="H708" s="426">
        <v>1.8176399999999999</v>
      </c>
      <c r="I708" s="425">
        <v>6.4699999999999994E-2</v>
      </c>
      <c r="J708" s="425">
        <v>0.37</v>
      </c>
      <c r="K708" s="425">
        <v>15.525219999999999</v>
      </c>
      <c r="L708" s="542" t="s">
        <v>1025</v>
      </c>
      <c r="M708" s="423" t="s">
        <v>698</v>
      </c>
      <c r="N708" s="206"/>
      <c r="O708" s="546"/>
    </row>
    <row r="709" spans="1:15" ht="15">
      <c r="A709" s="424">
        <v>305137</v>
      </c>
      <c r="B709" t="str">
        <f t="shared" si="24"/>
        <v>SEVROLL dorazový kartáč zásuvný 4,8x4mm biel</v>
      </c>
      <c r="C709" s="209">
        <f t="shared" si="25"/>
        <v>0.17066000000000001</v>
      </c>
      <c r="D709" s="542" t="s">
        <v>4651</v>
      </c>
      <c r="E709" s="542" t="s">
        <v>1673</v>
      </c>
      <c r="F709" s="542" t="s">
        <v>4652</v>
      </c>
      <c r="G709" s="542" t="s">
        <v>1674</v>
      </c>
      <c r="H709" s="426">
        <v>4.5832199999999998</v>
      </c>
      <c r="I709" s="425">
        <v>0.17066000000000001</v>
      </c>
      <c r="J709" s="425">
        <v>0.62</v>
      </c>
      <c r="K709" s="425">
        <v>51.929180000000002</v>
      </c>
      <c r="L709" s="542" t="s">
        <v>621</v>
      </c>
      <c r="M709" s="423" t="s">
        <v>698</v>
      </c>
      <c r="N709" s="206"/>
      <c r="O709" s="546"/>
    </row>
    <row r="710" spans="1:15" ht="15">
      <c r="A710" s="424">
        <v>196947</v>
      </c>
      <c r="B710" t="str">
        <f t="shared" si="24"/>
        <v>SEVROLL dorazový kartáč zásuvný 4,8x6mm</v>
      </c>
      <c r="C710" s="209">
        <f t="shared" si="25"/>
        <v>0.14462</v>
      </c>
      <c r="D710" s="542" t="s">
        <v>3861</v>
      </c>
      <c r="E710" s="542" t="s">
        <v>1675</v>
      </c>
      <c r="F710" s="542" t="s">
        <v>3861</v>
      </c>
      <c r="G710" s="542" t="s">
        <v>1676</v>
      </c>
      <c r="H710" s="426">
        <v>4.2700800000000001</v>
      </c>
      <c r="I710" s="425">
        <v>0.14462</v>
      </c>
      <c r="J710" s="425">
        <v>0.55000000000000004</v>
      </c>
      <c r="K710" s="425">
        <v>48.381210000000003</v>
      </c>
      <c r="L710" s="542" t="s">
        <v>622</v>
      </c>
      <c r="M710" s="423" t="s">
        <v>698</v>
      </c>
      <c r="N710" s="206"/>
      <c r="O710" s="546"/>
    </row>
    <row r="711" spans="1:15" ht="15">
      <c r="A711" s="424">
        <v>305348</v>
      </c>
      <c r="B711" t="str">
        <f t="shared" si="24"/>
        <v>SEVROLL dorazový kartáč zásuvný 4,8x9mm</v>
      </c>
      <c r="C711" s="209">
        <f t="shared" si="25"/>
        <v>0.27248</v>
      </c>
      <c r="D711" s="542" t="s">
        <v>3859</v>
      </c>
      <c r="E711" s="542" t="s">
        <v>1677</v>
      </c>
      <c r="F711" s="542" t="s">
        <v>3860</v>
      </c>
      <c r="G711" s="542" t="s">
        <v>1678</v>
      </c>
      <c r="H711" s="426">
        <v>7.1390399999999996</v>
      </c>
      <c r="I711" s="425">
        <v>0.27248</v>
      </c>
      <c r="J711" s="425">
        <v>0.92</v>
      </c>
      <c r="K711" s="425">
        <v>72.571820000000002</v>
      </c>
      <c r="L711" s="542" t="s">
        <v>1025</v>
      </c>
      <c r="M711" s="423" t="s">
        <v>698</v>
      </c>
      <c r="N711" s="206"/>
      <c r="O711" s="546"/>
    </row>
    <row r="712" spans="1:15" ht="15">
      <c r="A712" s="424">
        <v>306523</v>
      </c>
      <c r="B712" t="str">
        <f t="shared" si="24"/>
        <v>SEVROLL doraz.kratáč zásuvný biely 14,5x4mm</v>
      </c>
      <c r="C712" s="209">
        <f t="shared" si="25"/>
        <v>0.41025</v>
      </c>
      <c r="D712" s="542" t="s">
        <v>4653</v>
      </c>
      <c r="E712" s="542" t="s">
        <v>1679</v>
      </c>
      <c r="F712" s="542" t="s">
        <v>4654</v>
      </c>
      <c r="G712" s="542" t="s">
        <v>1680</v>
      </c>
      <c r="H712" s="426">
        <v>14.09126</v>
      </c>
      <c r="I712" s="425">
        <v>0.41025</v>
      </c>
      <c r="J712" s="425">
        <v>1.46</v>
      </c>
      <c r="K712" s="425">
        <v>124.82353999999999</v>
      </c>
      <c r="L712" s="542" t="s">
        <v>621</v>
      </c>
      <c r="M712" s="423" t="s">
        <v>698</v>
      </c>
      <c r="N712" s="206"/>
      <c r="O712" s="546"/>
    </row>
    <row r="713" spans="1:15" ht="15">
      <c r="A713" s="424">
        <v>276744</v>
      </c>
      <c r="B713" t="str">
        <f t="shared" si="24"/>
        <v>SEVROLL Elegant sp.ved. 1,7m biela lesk</v>
      </c>
      <c r="C713" s="209">
        <f t="shared" si="25"/>
        <v>11.73865</v>
      </c>
      <c r="D713" s="542" t="s">
        <v>4641</v>
      </c>
      <c r="E713" s="542" t="s">
        <v>1714</v>
      </c>
      <c r="F713" s="542" t="s">
        <v>4642</v>
      </c>
      <c r="G713" s="542" t="s">
        <v>1715</v>
      </c>
      <c r="H713" s="426">
        <v>315.27424000000002</v>
      </c>
      <c r="I713" s="425">
        <v>11.73865</v>
      </c>
      <c r="J713" s="425">
        <v>41.72</v>
      </c>
      <c r="K713" s="425">
        <v>3572.1464099999998</v>
      </c>
      <c r="L713" s="542" t="s">
        <v>621</v>
      </c>
      <c r="M713" s="423" t="s">
        <v>699</v>
      </c>
      <c r="N713" s="206"/>
      <c r="O713" s="546"/>
    </row>
    <row r="714" spans="1:15" ht="15">
      <c r="A714" s="424">
        <v>205090</v>
      </c>
      <c r="B714" t="str">
        <f t="shared" si="24"/>
        <v>SEVROLL Elegant sp.ved.1,7m čierna kartáč.</v>
      </c>
      <c r="C714" s="209">
        <f t="shared" si="25"/>
        <v>15.137309999999999</v>
      </c>
      <c r="D714" s="542" t="s">
        <v>3835</v>
      </c>
      <c r="E714" s="542" t="s">
        <v>1716</v>
      </c>
      <c r="F714" s="542" t="s">
        <v>3836</v>
      </c>
      <c r="G714" s="542" t="s">
        <v>1717</v>
      </c>
      <c r="H714" s="426">
        <v>406.36928</v>
      </c>
      <c r="I714" s="425">
        <v>15.137309999999999</v>
      </c>
      <c r="J714" s="425">
        <v>56.76</v>
      </c>
      <c r="K714" s="425">
        <v>4604.2790000000005</v>
      </c>
      <c r="L714" s="542" t="s">
        <v>621</v>
      </c>
      <c r="M714" s="423" t="s">
        <v>699</v>
      </c>
      <c r="N714" s="206"/>
      <c r="O714" s="546"/>
    </row>
    <row r="715" spans="1:15" ht="15">
      <c r="A715" s="424">
        <v>318666</v>
      </c>
      <c r="B715" t="str">
        <f t="shared" si="24"/>
        <v/>
      </c>
      <c r="C715" s="209">
        <f t="shared" si="25"/>
        <v>10.798590000000001</v>
      </c>
      <c r="D715" s="542" t="s">
        <v>4639</v>
      </c>
      <c r="E715" s="542" t="s">
        <v>1718</v>
      </c>
      <c r="F715" s="542" t="s">
        <v>84</v>
      </c>
      <c r="G715" s="542" t="s">
        <v>4640</v>
      </c>
      <c r="H715" s="426">
        <v>289.65375999999998</v>
      </c>
      <c r="I715" s="425">
        <v>10.798590000000001</v>
      </c>
      <c r="J715" s="425">
        <v>40.07</v>
      </c>
      <c r="K715" s="425">
        <v>3281.8591299999998</v>
      </c>
      <c r="L715" s="542" t="s">
        <v>621</v>
      </c>
      <c r="M715" s="423" t="s">
        <v>699</v>
      </c>
      <c r="N715" s="206"/>
      <c r="O715" s="546"/>
    </row>
    <row r="716" spans="1:15" ht="15">
      <c r="A716" s="424">
        <v>120868</v>
      </c>
      <c r="B716" t="str">
        <f t="shared" si="24"/>
        <v>SEVROLL Elegant sp.ved.1,7m oliva kartáčovaná</v>
      </c>
      <c r="C716" s="209">
        <f t="shared" si="25"/>
        <v>15.137309999999999</v>
      </c>
      <c r="D716" s="542" t="s">
        <v>4637</v>
      </c>
      <c r="E716" s="542" t="s">
        <v>1719</v>
      </c>
      <c r="F716" s="542" t="s">
        <v>4638</v>
      </c>
      <c r="G716" s="542" t="s">
        <v>1720</v>
      </c>
      <c r="H716" s="426">
        <v>420.23592000000002</v>
      </c>
      <c r="I716" s="425">
        <v>15.137309999999999</v>
      </c>
      <c r="J716" s="425">
        <v>56.76</v>
      </c>
      <c r="K716" s="425">
        <v>4604.2790000000005</v>
      </c>
      <c r="L716" s="542" t="s">
        <v>621</v>
      </c>
      <c r="M716" s="423" t="s">
        <v>699</v>
      </c>
      <c r="N716" s="206"/>
      <c r="O716" s="546"/>
    </row>
    <row r="717" spans="1:15" ht="15">
      <c r="A717" s="424">
        <v>205089</v>
      </c>
      <c r="B717" t="str">
        <f t="shared" si="24"/>
        <v>SEVROLL Elegant sp.ved.1,7m ovliva tm. Kartáčovaná</v>
      </c>
      <c r="C717" s="209">
        <f t="shared" si="25"/>
        <v>15.137309999999999</v>
      </c>
      <c r="D717" s="542" t="s">
        <v>3833</v>
      </c>
      <c r="E717" s="542" t="s">
        <v>1721</v>
      </c>
      <c r="F717" s="542" t="s">
        <v>3834</v>
      </c>
      <c r="G717" s="542" t="s">
        <v>1722</v>
      </c>
      <c r="H717" s="426">
        <v>406.36928</v>
      </c>
      <c r="I717" s="425">
        <v>15.137309999999999</v>
      </c>
      <c r="J717" s="425">
        <v>56.76</v>
      </c>
      <c r="K717" s="425">
        <v>4604.2790000000005</v>
      </c>
      <c r="L717" s="542" t="s">
        <v>622</v>
      </c>
      <c r="M717" s="423" t="s">
        <v>699</v>
      </c>
      <c r="N717" s="206"/>
      <c r="O717" s="546"/>
    </row>
    <row r="718" spans="1:15" ht="15">
      <c r="A718" s="424">
        <v>84385</v>
      </c>
      <c r="B718" t="str">
        <f t="shared" si="24"/>
        <v>SEVROLL Elegant spodné vedenie 1,7m striebor</v>
      </c>
      <c r="C718" s="209">
        <f t="shared" si="25"/>
        <v>9.0389999999999997</v>
      </c>
      <c r="D718" s="542" t="s">
        <v>4058</v>
      </c>
      <c r="E718" s="542" t="s">
        <v>1723</v>
      </c>
      <c r="F718" s="542" t="s">
        <v>4059</v>
      </c>
      <c r="G718" s="542" t="s">
        <v>1724</v>
      </c>
      <c r="H718" s="426">
        <v>242.68288000000001</v>
      </c>
      <c r="I718" s="425">
        <v>9.0389999999999997</v>
      </c>
      <c r="J718" s="425">
        <v>32.08</v>
      </c>
      <c r="K718" s="425">
        <v>2749.6657399999999</v>
      </c>
      <c r="L718" s="542" t="s">
        <v>1025</v>
      </c>
      <c r="M718" s="423" t="s">
        <v>699</v>
      </c>
      <c r="N718" s="206"/>
      <c r="O718" s="546"/>
    </row>
    <row r="719" spans="1:15" ht="15">
      <c r="A719" s="424">
        <v>84383</v>
      </c>
      <c r="B719" t="str">
        <f t="shared" si="24"/>
        <v>SEVROLL Elegant spodné vedenie 1,7m zlatá</v>
      </c>
      <c r="C719" s="209">
        <f t="shared" si="25"/>
        <v>10.798590000000001</v>
      </c>
      <c r="D719" s="542" t="s">
        <v>3831</v>
      </c>
      <c r="E719" s="542" t="s">
        <v>1725</v>
      </c>
      <c r="F719" s="542" t="s">
        <v>3832</v>
      </c>
      <c r="G719" s="542" t="s">
        <v>1726</v>
      </c>
      <c r="H719" s="426">
        <v>289.65375999999998</v>
      </c>
      <c r="I719" s="425">
        <v>10.798590000000001</v>
      </c>
      <c r="J719" s="425">
        <v>40.07</v>
      </c>
      <c r="K719" s="425">
        <v>3281.8591299999998</v>
      </c>
      <c r="L719" s="542" t="s">
        <v>622</v>
      </c>
      <c r="M719" s="423" t="s">
        <v>699</v>
      </c>
      <c r="N719" s="206"/>
      <c r="O719" s="546"/>
    </row>
    <row r="720" spans="1:15" ht="15">
      <c r="A720" s="424">
        <v>276745</v>
      </c>
      <c r="B720" t="str">
        <f t="shared" si="24"/>
        <v>SEVROLL Elegant spod.ved. 2,35m biela lesk</v>
      </c>
      <c r="C720" s="209">
        <f t="shared" si="25"/>
        <v>16.270199999999999</v>
      </c>
      <c r="D720" s="542" t="s">
        <v>4635</v>
      </c>
      <c r="E720" s="542" t="s">
        <v>1727</v>
      </c>
      <c r="F720" s="542" t="s">
        <v>4636</v>
      </c>
      <c r="G720" s="542" t="s">
        <v>1728</v>
      </c>
      <c r="H720" s="426">
        <v>436.97152</v>
      </c>
      <c r="I720" s="425">
        <v>16.270199999999999</v>
      </c>
      <c r="J720" s="425">
        <v>57.64</v>
      </c>
      <c r="K720" s="425">
        <v>4951.0110500000001</v>
      </c>
      <c r="L720" s="542" t="s">
        <v>621</v>
      </c>
      <c r="M720" s="423" t="s">
        <v>699</v>
      </c>
      <c r="N720" s="206"/>
      <c r="O720" s="546"/>
    </row>
    <row r="721" spans="1:15" ht="15">
      <c r="A721" s="424">
        <v>205079</v>
      </c>
      <c r="B721" t="str">
        <f t="shared" si="24"/>
        <v>SEVROLL Elegant sp.ved.2,35m čierna kartáč.</v>
      </c>
      <c r="C721" s="209">
        <f t="shared" si="25"/>
        <v>20.970479999999998</v>
      </c>
      <c r="D721" s="542" t="s">
        <v>4633</v>
      </c>
      <c r="E721" s="542" t="s">
        <v>1729</v>
      </c>
      <c r="F721" s="542" t="s">
        <v>4634</v>
      </c>
      <c r="G721" s="542" t="s">
        <v>1730</v>
      </c>
      <c r="H721" s="426">
        <v>582.71579999999994</v>
      </c>
      <c r="I721" s="425">
        <v>20.970479999999998</v>
      </c>
      <c r="J721" s="425">
        <v>78.27</v>
      </c>
      <c r="K721" s="425">
        <v>6378.2569000000003</v>
      </c>
      <c r="L721" s="542" t="s">
        <v>621</v>
      </c>
      <c r="M721" s="423" t="s">
        <v>699</v>
      </c>
      <c r="N721" s="206"/>
      <c r="O721" s="546"/>
    </row>
    <row r="722" spans="1:15" ht="15">
      <c r="A722" s="424">
        <v>120869</v>
      </c>
      <c r="B722" t="str">
        <f t="shared" si="24"/>
        <v>SEVROLL Elegant II sp.ved.2,35m oliva kartáčovaná</v>
      </c>
      <c r="C722" s="209">
        <f t="shared" si="25"/>
        <v>20.970479999999998</v>
      </c>
      <c r="D722" s="542" t="s">
        <v>4629</v>
      </c>
      <c r="E722" s="542" t="s">
        <v>1732</v>
      </c>
      <c r="F722" s="542" t="s">
        <v>4630</v>
      </c>
      <c r="G722" s="542" t="s">
        <v>1733</v>
      </c>
      <c r="H722" s="426">
        <v>582.71579999999994</v>
      </c>
      <c r="I722" s="425">
        <v>20.970479999999998</v>
      </c>
      <c r="J722" s="425">
        <v>78.27</v>
      </c>
      <c r="K722" s="425">
        <v>6378.2569000000003</v>
      </c>
      <c r="L722" s="542" t="s">
        <v>621</v>
      </c>
      <c r="M722" s="423" t="s">
        <v>699</v>
      </c>
      <c r="N722" s="206"/>
      <c r="O722" s="546"/>
    </row>
    <row r="723" spans="1:15" ht="15">
      <c r="A723" s="424">
        <v>205078</v>
      </c>
      <c r="B723" t="str">
        <f t="shared" si="24"/>
        <v>SEVROLL Elegant sp.ved.2,35m ovliva tm. Kartáčovaná</v>
      </c>
      <c r="C723" s="209">
        <f t="shared" si="25"/>
        <v>20.970479999999998</v>
      </c>
      <c r="D723" s="542" t="s">
        <v>3829</v>
      </c>
      <c r="E723" s="542" t="s">
        <v>1734</v>
      </c>
      <c r="F723" s="542" t="s">
        <v>3830</v>
      </c>
      <c r="G723" s="542" t="s">
        <v>1735</v>
      </c>
      <c r="H723" s="426">
        <v>562.93888000000004</v>
      </c>
      <c r="I723" s="425">
        <v>20.970479999999998</v>
      </c>
      <c r="J723" s="425">
        <v>78.27</v>
      </c>
      <c r="K723" s="425">
        <v>6378.2569000000003</v>
      </c>
      <c r="L723" s="542" t="s">
        <v>622</v>
      </c>
      <c r="M723" s="423" t="s">
        <v>699</v>
      </c>
      <c r="N723" s="206"/>
      <c r="O723" s="546"/>
    </row>
    <row r="724" spans="1:15" ht="15">
      <c r="A724" s="424">
        <v>84388</v>
      </c>
      <c r="B724" t="str">
        <f t="shared" si="24"/>
        <v>SEVROLL Elegant spodné vedenie 2,35m striebo</v>
      </c>
      <c r="C724" s="209">
        <f t="shared" si="25"/>
        <v>12.437659999999999</v>
      </c>
      <c r="D724" s="542" t="s">
        <v>4056</v>
      </c>
      <c r="E724" s="542" t="s">
        <v>1736</v>
      </c>
      <c r="F724" s="542" t="s">
        <v>4057</v>
      </c>
      <c r="G724" s="542" t="s">
        <v>1737</v>
      </c>
      <c r="H724" s="426">
        <v>333.77791999999999</v>
      </c>
      <c r="I724" s="425">
        <v>12.437659999999999</v>
      </c>
      <c r="J724" s="425">
        <v>44.35</v>
      </c>
      <c r="K724" s="425">
        <v>3781.7983399999998</v>
      </c>
      <c r="L724" s="542" t="s">
        <v>1025</v>
      </c>
      <c r="M724" s="423" t="s">
        <v>699</v>
      </c>
      <c r="N724" s="206"/>
      <c r="O724" s="546"/>
    </row>
    <row r="725" spans="1:15" ht="15">
      <c r="A725" s="424">
        <v>252568</v>
      </c>
      <c r="B725" t="str">
        <f t="shared" si="24"/>
        <v>SEVROLL Elegant spod.vedenie 3m biela lesk</v>
      </c>
      <c r="C725" s="209">
        <f t="shared" si="25"/>
        <v>20.681229999999999</v>
      </c>
      <c r="D725" s="542" t="s">
        <v>4627</v>
      </c>
      <c r="E725" s="542" t="s">
        <v>1740</v>
      </c>
      <c r="F725" s="542" t="s">
        <v>4628</v>
      </c>
      <c r="G725" s="542" t="s">
        <v>1741</v>
      </c>
      <c r="H725" s="426">
        <v>555.11040000000003</v>
      </c>
      <c r="I725" s="425">
        <v>20.681229999999999</v>
      </c>
      <c r="J725" s="425">
        <v>73.599999999999994</v>
      </c>
      <c r="K725" s="425">
        <v>6289.558</v>
      </c>
      <c r="L725" s="542" t="s">
        <v>621</v>
      </c>
      <c r="M725" s="423" t="s">
        <v>699</v>
      </c>
      <c r="N725" s="206"/>
      <c r="O725" s="546"/>
    </row>
    <row r="726" spans="1:15" ht="15">
      <c r="A726" s="424">
        <v>276743</v>
      </c>
      <c r="B726" t="str">
        <f t="shared" si="24"/>
        <v>SEVROLL Elegant spod.vedenie 3m RAL9003 mat</v>
      </c>
      <c r="C726" s="209">
        <f t="shared" si="25"/>
        <v>20.681229999999999</v>
      </c>
      <c r="D726" s="542" t="s">
        <v>3825</v>
      </c>
      <c r="E726" s="542" t="s">
        <v>1742</v>
      </c>
      <c r="F726" s="542" t="s">
        <v>3826</v>
      </c>
      <c r="G726" s="542" t="s">
        <v>1743</v>
      </c>
      <c r="H726" s="426">
        <v>555.11040000000003</v>
      </c>
      <c r="I726" s="425">
        <v>20.681229999999999</v>
      </c>
      <c r="J726" s="425">
        <v>73.599999999999994</v>
      </c>
      <c r="K726" s="425">
        <v>6289.558</v>
      </c>
      <c r="L726" s="542" t="s">
        <v>621</v>
      </c>
      <c r="M726" s="423" t="s">
        <v>699</v>
      </c>
      <c r="N726" s="206"/>
      <c r="O726" s="546"/>
    </row>
    <row r="727" spans="1:15" ht="15">
      <c r="A727" s="424">
        <v>205186</v>
      </c>
      <c r="B727" t="str">
        <f t="shared" si="24"/>
        <v>SEVROLL Elegant sp.ved.3m čierna kartáč.</v>
      </c>
      <c r="C727" s="209">
        <f t="shared" si="25"/>
        <v>26.75544</v>
      </c>
      <c r="D727" s="542" t="s">
        <v>4625</v>
      </c>
      <c r="E727" s="542" t="s">
        <v>1744</v>
      </c>
      <c r="F727" s="542" t="s">
        <v>4626</v>
      </c>
      <c r="G727" s="542" t="s">
        <v>1745</v>
      </c>
      <c r="H727" s="426">
        <v>742.64364</v>
      </c>
      <c r="I727" s="425">
        <v>26.75544</v>
      </c>
      <c r="J727" s="425">
        <v>100.1</v>
      </c>
      <c r="K727" s="425">
        <v>8136.1077400000004</v>
      </c>
      <c r="L727" s="542" t="s">
        <v>621</v>
      </c>
      <c r="M727" s="423" t="s">
        <v>699</v>
      </c>
      <c r="N727" s="206"/>
      <c r="O727" s="546"/>
    </row>
    <row r="728" spans="1:15" ht="15">
      <c r="A728" s="424">
        <v>120870</v>
      </c>
      <c r="B728" t="str">
        <f t="shared" si="24"/>
        <v>SEVROLL Elegant II sp.ved.3m oliva kartáč.</v>
      </c>
      <c r="C728" s="209">
        <f t="shared" si="25"/>
        <v>26.75544</v>
      </c>
      <c r="D728" s="542" t="s">
        <v>4621</v>
      </c>
      <c r="E728" s="542" t="s">
        <v>1748</v>
      </c>
      <c r="F728" s="542" t="s">
        <v>4622</v>
      </c>
      <c r="G728" s="542" t="s">
        <v>1749</v>
      </c>
      <c r="H728" s="426">
        <v>742.64364</v>
      </c>
      <c r="I728" s="425">
        <v>26.75544</v>
      </c>
      <c r="J728" s="425">
        <v>100.1</v>
      </c>
      <c r="K728" s="425">
        <v>8136.1077400000004</v>
      </c>
      <c r="L728" s="542" t="s">
        <v>621</v>
      </c>
      <c r="M728" s="423" t="s">
        <v>699</v>
      </c>
      <c r="N728" s="206"/>
      <c r="O728" s="546"/>
    </row>
    <row r="729" spans="1:15" ht="15">
      <c r="A729" s="424">
        <v>205098</v>
      </c>
      <c r="B729" t="str">
        <f t="shared" si="24"/>
        <v>SEVROLL Elegant sp.ved.3m ovliva tm.kartáč.</v>
      </c>
      <c r="C729" s="209">
        <f t="shared" si="25"/>
        <v>26.75544</v>
      </c>
      <c r="D729" s="542" t="s">
        <v>3823</v>
      </c>
      <c r="E729" s="542" t="s">
        <v>1750</v>
      </c>
      <c r="F729" s="542" t="s">
        <v>3824</v>
      </c>
      <c r="G729" s="542" t="s">
        <v>1751</v>
      </c>
      <c r="H729" s="426">
        <v>718.08511999999996</v>
      </c>
      <c r="I729" s="425">
        <v>26.75544</v>
      </c>
      <c r="J729" s="425">
        <v>100.1</v>
      </c>
      <c r="K729" s="425">
        <v>8136.1077400000004</v>
      </c>
      <c r="L729" s="542" t="s">
        <v>622</v>
      </c>
      <c r="M729" s="423" t="s">
        <v>699</v>
      </c>
      <c r="N729" s="206"/>
      <c r="O729" s="546"/>
    </row>
    <row r="730" spans="1:15" ht="15">
      <c r="A730" s="424">
        <v>84391</v>
      </c>
      <c r="B730" t="str">
        <f t="shared" si="24"/>
        <v>SEVROLL Elegant spodné vedenie 3m strieborná</v>
      </c>
      <c r="C730" s="209">
        <f t="shared" si="25"/>
        <v>15.788119999999999</v>
      </c>
      <c r="D730" s="542" t="s">
        <v>4054</v>
      </c>
      <c r="E730" s="542" t="s">
        <v>1752</v>
      </c>
      <c r="F730" s="542" t="s">
        <v>4055</v>
      </c>
      <c r="G730" s="542" t="s">
        <v>1753</v>
      </c>
      <c r="H730" s="426">
        <v>423.44959999999998</v>
      </c>
      <c r="I730" s="425">
        <v>15.788119999999999</v>
      </c>
      <c r="J730" s="425">
        <v>56.6</v>
      </c>
      <c r="K730" s="425">
        <v>4797.8038699999997</v>
      </c>
      <c r="L730" s="542" t="s">
        <v>1025</v>
      </c>
      <c r="M730" s="423" t="s">
        <v>699</v>
      </c>
      <c r="N730" s="206"/>
      <c r="O730" s="546"/>
    </row>
    <row r="731" spans="1:15" ht="15">
      <c r="A731" s="424">
        <v>276746</v>
      </c>
      <c r="B731" t="str">
        <f t="shared" si="24"/>
        <v>SEVROLL Elegant spod.ved.4,05m biela lesk</v>
      </c>
      <c r="C731" s="209">
        <f t="shared" si="25"/>
        <v>28.008849999999999</v>
      </c>
      <c r="D731" s="542" t="s">
        <v>4619</v>
      </c>
      <c r="E731" s="542" t="s">
        <v>1756</v>
      </c>
      <c r="F731" s="542" t="s">
        <v>4620</v>
      </c>
      <c r="G731" s="542" t="s">
        <v>1757</v>
      </c>
      <c r="H731" s="426">
        <v>751.53408000000002</v>
      </c>
      <c r="I731" s="425">
        <v>28.008849999999999</v>
      </c>
      <c r="J731" s="425">
        <v>99.34</v>
      </c>
      <c r="K731" s="425">
        <v>8515.0939199999993</v>
      </c>
      <c r="L731" s="542" t="s">
        <v>621</v>
      </c>
      <c r="M731" s="423" t="s">
        <v>699</v>
      </c>
      <c r="N731" s="206"/>
      <c r="O731" s="546"/>
    </row>
    <row r="732" spans="1:15" ht="15">
      <c r="A732" s="424">
        <v>205088</v>
      </c>
      <c r="B732" t="str">
        <f t="shared" ref="B732:B795" si="26">IF($A$2=1,D732,IF($A$2=2,F732,IF($A$2=3,G732,IF($A$2=4,E732,"zadat jazyk"))))</f>
        <v>SEVROLL Elegant sp.ved.4,05m čierna kartáč.</v>
      </c>
      <c r="C732" s="209">
        <f t="shared" si="25"/>
        <v>36.083689999999997</v>
      </c>
      <c r="D732" s="542" t="s">
        <v>4617</v>
      </c>
      <c r="E732" s="542" t="s">
        <v>1758</v>
      </c>
      <c r="F732" s="542" t="s">
        <v>4618</v>
      </c>
      <c r="G732" s="542" t="s">
        <v>1759</v>
      </c>
      <c r="H732" s="426">
        <v>1002.10104</v>
      </c>
      <c r="I732" s="425">
        <v>36.083689999999997</v>
      </c>
      <c r="J732" s="425">
        <v>135.15</v>
      </c>
      <c r="K732" s="425">
        <v>10974.472379999999</v>
      </c>
      <c r="L732" s="542" t="s">
        <v>621</v>
      </c>
      <c r="M732" s="423" t="s">
        <v>699</v>
      </c>
      <c r="N732" s="206"/>
      <c r="O732" s="546"/>
    </row>
    <row r="733" spans="1:15" ht="15">
      <c r="A733" s="424">
        <v>120871</v>
      </c>
      <c r="B733" t="str">
        <f t="shared" si="26"/>
        <v>SEVROLL Elegant II sp.ved.4,05m oliva kartáč</v>
      </c>
      <c r="C733" s="209">
        <f t="shared" si="25"/>
        <v>36.083689999999997</v>
      </c>
      <c r="D733" s="542" t="s">
        <v>4613</v>
      </c>
      <c r="E733" s="542" t="s">
        <v>1761</v>
      </c>
      <c r="F733" s="542" t="s">
        <v>4614</v>
      </c>
      <c r="G733" s="542" t="s">
        <v>1762</v>
      </c>
      <c r="H733" s="426">
        <v>1002.10104</v>
      </c>
      <c r="I733" s="425">
        <v>36.083689999999997</v>
      </c>
      <c r="J733" s="425">
        <v>135.15</v>
      </c>
      <c r="K733" s="425">
        <v>10974.472379999999</v>
      </c>
      <c r="L733" s="542" t="s">
        <v>621</v>
      </c>
      <c r="M733" s="423" t="s">
        <v>699</v>
      </c>
      <c r="N733" s="206"/>
      <c r="O733" s="546"/>
    </row>
    <row r="734" spans="1:15" ht="15">
      <c r="A734" s="424">
        <v>205087</v>
      </c>
      <c r="B734" t="str">
        <f t="shared" si="26"/>
        <v>SEVROLL Elegant sp.ved.4,05m ovliva tm. Kartáčovaná</v>
      </c>
      <c r="C734" s="209">
        <f t="shared" si="25"/>
        <v>36.083689999999997</v>
      </c>
      <c r="D734" s="542" t="s">
        <v>3819</v>
      </c>
      <c r="E734" s="542" t="s">
        <v>1763</v>
      </c>
      <c r="F734" s="542" t="s">
        <v>3820</v>
      </c>
      <c r="G734" s="542" t="s">
        <v>1764</v>
      </c>
      <c r="H734" s="426">
        <v>968.59648000000004</v>
      </c>
      <c r="I734" s="425">
        <v>36.083689999999997</v>
      </c>
      <c r="J734" s="425">
        <v>135.15</v>
      </c>
      <c r="K734" s="425">
        <v>10974.472379999999</v>
      </c>
      <c r="L734" s="542" t="s">
        <v>622</v>
      </c>
      <c r="M734" s="423" t="s">
        <v>699</v>
      </c>
      <c r="N734" s="206"/>
      <c r="O734" s="546"/>
    </row>
    <row r="735" spans="1:15" ht="15">
      <c r="A735" s="424">
        <v>84394</v>
      </c>
      <c r="B735" t="str">
        <f t="shared" si="26"/>
        <v>SEVROLL Elegant spodné vedenie 4,05m striebo</v>
      </c>
      <c r="C735" s="209">
        <f t="shared" si="25"/>
        <v>21.38025</v>
      </c>
      <c r="D735" s="542" t="s">
        <v>4052</v>
      </c>
      <c r="E735" s="542" t="s">
        <v>1765</v>
      </c>
      <c r="F735" s="542" t="s">
        <v>4053</v>
      </c>
      <c r="G735" s="542" t="s">
        <v>1766</v>
      </c>
      <c r="H735" s="426">
        <v>573.61407999999994</v>
      </c>
      <c r="I735" s="425">
        <v>21.38025</v>
      </c>
      <c r="J735" s="425">
        <v>76.430000000000007</v>
      </c>
      <c r="K735" s="425">
        <v>6499.2099500000004</v>
      </c>
      <c r="L735" s="542" t="s">
        <v>1025</v>
      </c>
      <c r="M735" s="423" t="s">
        <v>699</v>
      </c>
      <c r="N735" s="206"/>
      <c r="O735" s="546"/>
    </row>
    <row r="736" spans="1:15" ht="15">
      <c r="A736" s="424">
        <v>225369</v>
      </c>
      <c r="B736" t="str">
        <f t="shared" si="26"/>
        <v>SEVROLL Elegant spod.ved. 6m čierna kartáč.</v>
      </c>
      <c r="C736" s="209">
        <f t="shared" si="25"/>
        <v>53.486780000000003</v>
      </c>
      <c r="D736" s="542" t="s">
        <v>3813</v>
      </c>
      <c r="E736" s="542" t="s">
        <v>1771</v>
      </c>
      <c r="F736" s="542" t="s">
        <v>3814</v>
      </c>
      <c r="G736" s="542" t="s">
        <v>1772</v>
      </c>
      <c r="H736" s="426">
        <v>1435.45856</v>
      </c>
      <c r="I736" s="425">
        <v>53.486780000000003</v>
      </c>
      <c r="J736" s="425">
        <v>200.22</v>
      </c>
      <c r="K736" s="425">
        <v>16264.15193</v>
      </c>
      <c r="L736" s="542" t="s">
        <v>622</v>
      </c>
      <c r="M736" s="423" t="s">
        <v>699</v>
      </c>
      <c r="N736" s="206"/>
      <c r="O736" s="546"/>
    </row>
    <row r="737" spans="1:15" ht="15">
      <c r="A737" s="424">
        <v>225367</v>
      </c>
      <c r="B737" t="str">
        <f t="shared" si="26"/>
        <v>SEVROLL Elegant spod.vedenie 6m oliva kartáčovaná</v>
      </c>
      <c r="C737" s="209">
        <f t="shared" si="25"/>
        <v>53.486780000000003</v>
      </c>
      <c r="D737" s="542" t="s">
        <v>3810</v>
      </c>
      <c r="E737" s="542" t="s">
        <v>1774</v>
      </c>
      <c r="F737" s="542" t="s">
        <v>3812</v>
      </c>
      <c r="G737" s="542" t="s">
        <v>3811</v>
      </c>
      <c r="H737" s="426">
        <v>1435.45856</v>
      </c>
      <c r="I737" s="425">
        <v>53.486780000000003</v>
      </c>
      <c r="J737" s="425">
        <v>200.22</v>
      </c>
      <c r="K737" s="425">
        <v>16264.15193</v>
      </c>
      <c r="L737" s="542" t="s">
        <v>622</v>
      </c>
      <c r="M737" s="423" t="s">
        <v>699</v>
      </c>
      <c r="N737" s="206"/>
      <c r="O737" s="546"/>
    </row>
    <row r="738" spans="1:15" ht="15">
      <c r="A738" s="424">
        <v>225368</v>
      </c>
      <c r="B738" t="str">
        <f t="shared" si="26"/>
        <v>SEVROLL Elegant spod.ved. 6m oliva tm.kartáčovaná</v>
      </c>
      <c r="C738" s="209">
        <f t="shared" si="25"/>
        <v>50.931750000000001</v>
      </c>
      <c r="D738" s="542" t="s">
        <v>3808</v>
      </c>
      <c r="E738" s="542" t="s">
        <v>1775</v>
      </c>
      <c r="F738" s="542" t="s">
        <v>3809</v>
      </c>
      <c r="G738" s="542" t="s">
        <v>1776</v>
      </c>
      <c r="H738" s="426">
        <v>1433.3235199999999</v>
      </c>
      <c r="I738" s="425">
        <v>50.931750000000001</v>
      </c>
      <c r="J738" s="425">
        <v>182.01846</v>
      </c>
      <c r="K738" s="425">
        <v>16239.96133</v>
      </c>
      <c r="L738" s="542" t="s">
        <v>622</v>
      </c>
      <c r="M738" s="423" t="s">
        <v>699</v>
      </c>
      <c r="N738" s="206"/>
      <c r="O738" s="546"/>
    </row>
    <row r="739" spans="1:15" ht="15">
      <c r="A739" s="424">
        <v>350687</v>
      </c>
      <c r="B739" t="str">
        <f t="shared" si="26"/>
        <v/>
      </c>
      <c r="C739" s="209">
        <f t="shared" si="25"/>
        <v>31.600339999999999</v>
      </c>
      <c r="D739" s="542" t="s">
        <v>4611</v>
      </c>
      <c r="E739" s="542" t="s">
        <v>1777</v>
      </c>
      <c r="F739" s="542" t="s">
        <v>84</v>
      </c>
      <c r="G739" s="542" t="s">
        <v>84</v>
      </c>
      <c r="H739" s="426">
        <v>848.32255999999995</v>
      </c>
      <c r="I739" s="425">
        <v>31.600339999999999</v>
      </c>
      <c r="J739" s="425">
        <v>113.21</v>
      </c>
      <c r="K739" s="425">
        <v>9611.7348199999997</v>
      </c>
      <c r="L739" s="542" t="s">
        <v>621</v>
      </c>
      <c r="M739" s="423" t="s">
        <v>699</v>
      </c>
      <c r="N739" s="206"/>
      <c r="O739" s="546"/>
    </row>
    <row r="740" spans="1:15" ht="15">
      <c r="A740" s="424">
        <v>308688</v>
      </c>
      <c r="B740" t="str">
        <f t="shared" si="26"/>
        <v>SEVROLL Fala úchytová lišta 10mm 2,5m oliva</v>
      </c>
      <c r="C740" s="209" t="e">
        <f t="shared" si="25"/>
        <v>#N/A</v>
      </c>
      <c r="D740" s="542" t="s">
        <v>3778</v>
      </c>
      <c r="E740" s="542" t="s">
        <v>1805</v>
      </c>
      <c r="F740" s="542" t="s">
        <v>3778</v>
      </c>
      <c r="G740" s="542" t="s">
        <v>1806</v>
      </c>
      <c r="H740" s="426">
        <v>1E-3</v>
      </c>
      <c r="I740" s="425" t="e">
        <v>#N/A</v>
      </c>
      <c r="J740" s="425">
        <v>1E-3</v>
      </c>
      <c r="K740" s="425">
        <v>1E-3</v>
      </c>
      <c r="L740" s="542" t="s">
        <v>7984</v>
      </c>
      <c r="M740" s="423" t="s">
        <v>699</v>
      </c>
      <c r="N740" s="206"/>
      <c r="O740" s="546"/>
    </row>
    <row r="741" spans="1:15" ht="15">
      <c r="A741" s="424">
        <v>223550</v>
      </c>
      <c r="B741" t="str">
        <f t="shared" si="26"/>
        <v>SEVROLL Fala úchytová lišta 10mm 2,70m oliva</v>
      </c>
      <c r="C741" s="209">
        <f t="shared" si="25"/>
        <v>14.82291</v>
      </c>
      <c r="D741" s="542" t="s">
        <v>3775</v>
      </c>
      <c r="E741" s="542" t="s">
        <v>1027</v>
      </c>
      <c r="F741" s="542" t="s">
        <v>3775</v>
      </c>
      <c r="G741" s="542" t="s">
        <v>1809</v>
      </c>
      <c r="H741" s="426">
        <v>355.58208999999999</v>
      </c>
      <c r="I741" s="425">
        <v>14.82291</v>
      </c>
      <c r="J741" s="425">
        <v>49.52</v>
      </c>
      <c r="K741" s="425">
        <v>3628.5911599999999</v>
      </c>
      <c r="L741" s="542" t="s">
        <v>1025</v>
      </c>
      <c r="M741" s="423" t="s">
        <v>699</v>
      </c>
      <c r="N741" s="206"/>
      <c r="O741" s="546"/>
    </row>
    <row r="742" spans="1:15" ht="15">
      <c r="A742" s="424">
        <v>215233</v>
      </c>
      <c r="B742" t="str">
        <f t="shared" si="26"/>
        <v>SEVROLL Fala úch.lišta 10mm 2,70m strieborná</v>
      </c>
      <c r="C742" s="209">
        <f t="shared" si="25"/>
        <v>13.160780000000001</v>
      </c>
      <c r="D742" s="542" t="s">
        <v>4599</v>
      </c>
      <c r="E742" s="542" t="s">
        <v>1810</v>
      </c>
      <c r="F742" s="542" t="s">
        <v>4600</v>
      </c>
      <c r="G742" s="542" t="s">
        <v>1811</v>
      </c>
      <c r="H742" s="426">
        <v>300.64191</v>
      </c>
      <c r="I742" s="425">
        <v>13.160780000000001</v>
      </c>
      <c r="J742" s="425">
        <v>42.99</v>
      </c>
      <c r="K742" s="425">
        <v>3217.3508200000001</v>
      </c>
      <c r="L742" s="542" t="s">
        <v>621</v>
      </c>
      <c r="M742" s="423" t="s">
        <v>699</v>
      </c>
      <c r="N742" s="206"/>
      <c r="O742" s="546"/>
    </row>
    <row r="743" spans="1:15" ht="15">
      <c r="A743" s="424">
        <v>135706</v>
      </c>
      <c r="B743" t="str">
        <f t="shared" si="26"/>
        <v>SEVROLL Faworyt II úchytová lišta 2,7m oliva</v>
      </c>
      <c r="C743" s="209">
        <f t="shared" si="25"/>
        <v>14.92038</v>
      </c>
      <c r="D743" s="542" t="s">
        <v>3772</v>
      </c>
      <c r="E743" s="542" t="s">
        <v>1816</v>
      </c>
      <c r="F743" s="542" t="s">
        <v>3772</v>
      </c>
      <c r="G743" s="542" t="s">
        <v>1817</v>
      </c>
      <c r="H743" s="426">
        <v>400.67583999999999</v>
      </c>
      <c r="I743" s="425">
        <v>14.92038</v>
      </c>
      <c r="J743" s="425">
        <v>52.1</v>
      </c>
      <c r="K743" s="425">
        <v>4539.7707200000004</v>
      </c>
      <c r="L743" s="542" t="s">
        <v>622</v>
      </c>
      <c r="M743" s="423" t="s">
        <v>699</v>
      </c>
      <c r="N743" s="206"/>
      <c r="O743" s="546"/>
    </row>
    <row r="744" spans="1:15" ht="15">
      <c r="A744" s="424">
        <v>179196</v>
      </c>
      <c r="B744" t="str">
        <f t="shared" si="26"/>
        <v>SEVROLL Faworyt II úch.lišta 2,7m strieborná</v>
      </c>
      <c r="C744" s="209">
        <f t="shared" si="25"/>
        <v>13.570550000000001</v>
      </c>
      <c r="D744" s="542" t="s">
        <v>4595</v>
      </c>
      <c r="E744" s="542" t="s">
        <v>1018</v>
      </c>
      <c r="F744" s="542" t="s">
        <v>4596</v>
      </c>
      <c r="G744" s="542" t="s">
        <v>1818</v>
      </c>
      <c r="H744" s="426">
        <v>364.38015999999999</v>
      </c>
      <c r="I744" s="425">
        <v>13.570550000000001</v>
      </c>
      <c r="J744" s="425">
        <v>47.34</v>
      </c>
      <c r="K744" s="425">
        <v>4128.5303899999999</v>
      </c>
      <c r="L744" s="542" t="s">
        <v>621</v>
      </c>
      <c r="M744" s="423" t="s">
        <v>699</v>
      </c>
      <c r="N744" s="206"/>
      <c r="O744" s="546"/>
    </row>
    <row r="745" spans="1:15" ht="15">
      <c r="A745" s="424">
        <v>98050</v>
      </c>
      <c r="B745" t="str">
        <f t="shared" si="26"/>
        <v>SEVROLL Fiesta 18 úch.lišta 2,7m strieborná</v>
      </c>
      <c r="C745" s="209" t="e">
        <f t="shared" si="25"/>
        <v>#N/A</v>
      </c>
      <c r="D745" s="542" t="s">
        <v>3766</v>
      </c>
      <c r="E745" s="542" t="s">
        <v>836</v>
      </c>
      <c r="F745" s="542" t="s">
        <v>3767</v>
      </c>
      <c r="G745" s="542" t="s">
        <v>1821</v>
      </c>
      <c r="H745" s="426">
        <v>1E-3</v>
      </c>
      <c r="I745" s="425" t="e">
        <v>#N/A</v>
      </c>
      <c r="J745" s="425">
        <v>1E-3</v>
      </c>
      <c r="K745" s="425">
        <v>1E-3</v>
      </c>
      <c r="L745" s="542" t="s">
        <v>7984</v>
      </c>
      <c r="M745" s="423" t="s">
        <v>699</v>
      </c>
      <c r="N745" s="206"/>
      <c r="O745" s="546"/>
    </row>
    <row r="746" spans="1:15" ht="15">
      <c r="A746" s="424">
        <v>89102</v>
      </c>
      <c r="B746" t="str">
        <f t="shared" si="26"/>
        <v>SEVROLL Focus 18mm úch.lišta 2,7m oliva</v>
      </c>
      <c r="C746" s="209" t="e">
        <f t="shared" si="25"/>
        <v>#N/A</v>
      </c>
      <c r="D746" s="542" t="s">
        <v>3088</v>
      </c>
      <c r="E746" s="542" t="s">
        <v>1839</v>
      </c>
      <c r="F746" s="542" t="s">
        <v>3089</v>
      </c>
      <c r="G746" s="542" t="s">
        <v>1840</v>
      </c>
      <c r="H746" s="426">
        <v>1E-3</v>
      </c>
      <c r="I746" s="425" t="e">
        <v>#N/A</v>
      </c>
      <c r="J746" s="425">
        <v>1E-3</v>
      </c>
      <c r="K746" s="425">
        <v>1E-3</v>
      </c>
      <c r="L746" s="542" t="s">
        <v>7984</v>
      </c>
      <c r="M746" s="423" t="s">
        <v>699</v>
      </c>
      <c r="N746" s="206"/>
      <c r="O746" s="546"/>
    </row>
    <row r="747" spans="1:15" ht="15">
      <c r="A747" s="424">
        <v>228023</v>
      </c>
      <c r="B747" t="str">
        <f t="shared" si="26"/>
        <v>SEVROLL Focus horný vozík 18mm - 2ks</v>
      </c>
      <c r="C747" s="209">
        <f t="shared" si="25"/>
        <v>4.0494700000000003</v>
      </c>
      <c r="D747" s="542" t="s">
        <v>4591</v>
      </c>
      <c r="E747" s="542" t="s">
        <v>1220</v>
      </c>
      <c r="F747" s="542" t="s">
        <v>4592</v>
      </c>
      <c r="G747" s="542" t="s">
        <v>1842</v>
      </c>
      <c r="H747" s="426">
        <v>108.88704</v>
      </c>
      <c r="I747" s="425">
        <v>4.0494700000000003</v>
      </c>
      <c r="J747" s="425">
        <v>14.23</v>
      </c>
      <c r="K747" s="425">
        <v>1233.721</v>
      </c>
      <c r="L747" s="542" t="s">
        <v>621</v>
      </c>
      <c r="M747" s="423" t="s">
        <v>700</v>
      </c>
      <c r="N747" s="206"/>
      <c r="O747" s="546"/>
    </row>
    <row r="748" spans="1:15" ht="15">
      <c r="A748" s="424">
        <v>284597</v>
      </c>
      <c r="B748" t="str">
        <f t="shared" si="26"/>
        <v>SEVROLL Focus II 16mm úchytová lišta 2,7m zl</v>
      </c>
      <c r="C748" s="209">
        <f t="shared" si="25"/>
        <v>0</v>
      </c>
      <c r="D748" s="542" t="s">
        <v>3751</v>
      </c>
      <c r="E748" s="542" t="s">
        <v>1844</v>
      </c>
      <c r="F748" s="542" t="s">
        <v>3752</v>
      </c>
      <c r="G748" s="542" t="s">
        <v>1845</v>
      </c>
      <c r="H748" s="426">
        <v>0</v>
      </c>
      <c r="I748" s="425">
        <v>0</v>
      </c>
      <c r="J748" s="425">
        <v>27.259080000000001</v>
      </c>
      <c r="K748" s="425">
        <v>0</v>
      </c>
      <c r="L748" s="542" t="s">
        <v>622</v>
      </c>
      <c r="M748" s="423" t="s">
        <v>699</v>
      </c>
      <c r="N748" s="206"/>
      <c r="O748" s="546"/>
    </row>
    <row r="749" spans="1:15" ht="15">
      <c r="A749" s="424">
        <v>265065</v>
      </c>
      <c r="B749" t="str">
        <f t="shared" si="26"/>
        <v>SEVROLL Fox II úch.lišta 2,7m biela lesk</v>
      </c>
      <c r="C749" s="209">
        <f t="shared" si="25"/>
        <v>22.223890000000001</v>
      </c>
      <c r="D749" s="542" t="s">
        <v>4585</v>
      </c>
      <c r="E749" s="542" t="s">
        <v>1868</v>
      </c>
      <c r="F749" s="542" t="s">
        <v>4586</v>
      </c>
      <c r="G749" s="542" t="s">
        <v>1869</v>
      </c>
      <c r="H749" s="426">
        <v>639.80032000000006</v>
      </c>
      <c r="I749" s="425">
        <v>22.223890000000001</v>
      </c>
      <c r="J749" s="425">
        <v>82.43</v>
      </c>
      <c r="K749" s="425">
        <v>7249.1187900000004</v>
      </c>
      <c r="L749" s="542" t="s">
        <v>621</v>
      </c>
      <c r="M749" s="423" t="s">
        <v>699</v>
      </c>
      <c r="N749" s="206"/>
      <c r="O749" s="546"/>
    </row>
    <row r="750" spans="1:15" ht="15">
      <c r="A750" s="424">
        <v>205077</v>
      </c>
      <c r="B750" t="str">
        <f t="shared" si="26"/>
        <v>SEVROLL Fox II úch.lišta 2,7m čierna kartáč.</v>
      </c>
      <c r="C750" s="209">
        <f t="shared" si="25"/>
        <v>25.333300000000001</v>
      </c>
      <c r="D750" s="542" t="s">
        <v>4583</v>
      </c>
      <c r="E750" s="542" t="s">
        <v>1870</v>
      </c>
      <c r="F750" s="542" t="s">
        <v>4584</v>
      </c>
      <c r="G750" s="542" t="s">
        <v>1871</v>
      </c>
      <c r="H750" s="426">
        <v>729.47199999999998</v>
      </c>
      <c r="I750" s="425">
        <v>25.333300000000001</v>
      </c>
      <c r="J750" s="425">
        <v>92.44</v>
      </c>
      <c r="K750" s="425">
        <v>8265.1243099999992</v>
      </c>
      <c r="L750" s="542" t="s">
        <v>621</v>
      </c>
      <c r="M750" s="423" t="s">
        <v>699</v>
      </c>
      <c r="N750" s="206"/>
      <c r="O750" s="546"/>
    </row>
    <row r="751" spans="1:15" ht="15">
      <c r="A751" s="424">
        <v>96429</v>
      </c>
      <c r="B751" t="str">
        <f t="shared" si="26"/>
        <v>SEVROLL Fox II úch.lišta 2,7m oliva kartáč.</v>
      </c>
      <c r="C751" s="209">
        <f t="shared" si="25"/>
        <v>25.333300000000001</v>
      </c>
      <c r="D751" s="542" t="s">
        <v>4580</v>
      </c>
      <c r="E751" s="542" t="s">
        <v>1875</v>
      </c>
      <c r="F751" s="542" t="s">
        <v>4581</v>
      </c>
      <c r="G751" s="542" t="s">
        <v>1876</v>
      </c>
      <c r="H751" s="426">
        <v>729.47199999999998</v>
      </c>
      <c r="I751" s="425">
        <v>25.333300000000001</v>
      </c>
      <c r="J751" s="425">
        <v>92.44</v>
      </c>
      <c r="K751" s="425">
        <v>8265.1243099999992</v>
      </c>
      <c r="L751" s="542" t="s">
        <v>621</v>
      </c>
      <c r="M751" s="423" t="s">
        <v>699</v>
      </c>
      <c r="N751" s="206"/>
      <c r="O751" s="546"/>
    </row>
    <row r="752" spans="1:15" ht="15">
      <c r="A752" s="424">
        <v>276751</v>
      </c>
      <c r="B752" t="str">
        <f t="shared" si="26"/>
        <v>SEVROLL Gemini horné vedenie 1,7m biela lesk</v>
      </c>
      <c r="C752" s="209">
        <f t="shared" si="25"/>
        <v>21.35614</v>
      </c>
      <c r="D752" s="542" t="s">
        <v>4571</v>
      </c>
      <c r="E752" s="542" t="s">
        <v>1887</v>
      </c>
      <c r="F752" s="542" t="s">
        <v>4572</v>
      </c>
      <c r="G752" s="542" t="s">
        <v>1888</v>
      </c>
      <c r="H752" s="426">
        <v>547.99360000000001</v>
      </c>
      <c r="I752" s="425">
        <v>21.35614</v>
      </c>
      <c r="J752" s="425">
        <v>76.52</v>
      </c>
      <c r="K752" s="425">
        <v>6208.9226399999998</v>
      </c>
      <c r="L752" s="542" t="s">
        <v>621</v>
      </c>
      <c r="M752" s="423" t="s">
        <v>699</v>
      </c>
      <c r="N752" s="206"/>
      <c r="O752" s="546"/>
    </row>
    <row r="753" spans="1:15" ht="15">
      <c r="A753" s="424">
        <v>205163</v>
      </c>
      <c r="B753" t="str">
        <f t="shared" si="26"/>
        <v>SEVROLL Gemini horné vedenie 1,7m čierna kar</v>
      </c>
      <c r="C753" s="209">
        <f t="shared" si="25"/>
        <v>25.984110000000001</v>
      </c>
      <c r="D753" s="542" t="s">
        <v>3710</v>
      </c>
      <c r="E753" s="542" t="s">
        <v>1889</v>
      </c>
      <c r="F753" s="542" t="s">
        <v>3711</v>
      </c>
      <c r="G753" s="542" t="s">
        <v>1890</v>
      </c>
      <c r="H753" s="426">
        <v>666.84415999999999</v>
      </c>
      <c r="I753" s="425">
        <v>25.984110000000001</v>
      </c>
      <c r="J753" s="425">
        <v>86.27</v>
      </c>
      <c r="K753" s="425">
        <v>7555.5331500000002</v>
      </c>
      <c r="L753" s="542" t="s">
        <v>621</v>
      </c>
      <c r="M753" s="423" t="s">
        <v>699</v>
      </c>
      <c r="N753" s="206"/>
      <c r="O753" s="546"/>
    </row>
    <row r="754" spans="1:15" ht="15">
      <c r="A754" s="424">
        <v>119459</v>
      </c>
      <c r="B754" t="str">
        <f t="shared" si="26"/>
        <v>SEVROL- Gemini HORNÉ VEDENIE 1,70M OLIVA</v>
      </c>
      <c r="C754" s="209">
        <f t="shared" si="25"/>
        <v>25.984110000000001</v>
      </c>
      <c r="D754" s="542" t="s">
        <v>4568</v>
      </c>
      <c r="E754" s="542" t="s">
        <v>1893</v>
      </c>
      <c r="F754" s="542" t="s">
        <v>1895</v>
      </c>
      <c r="G754" s="542" t="s">
        <v>1894</v>
      </c>
      <c r="H754" s="426">
        <v>666.84415999999999</v>
      </c>
      <c r="I754" s="425">
        <v>25.984110000000001</v>
      </c>
      <c r="J754" s="425">
        <v>86.27</v>
      </c>
      <c r="K754" s="425">
        <v>7555.5331500000002</v>
      </c>
      <c r="L754" s="542" t="s">
        <v>621</v>
      </c>
      <c r="M754" s="423" t="s">
        <v>699</v>
      </c>
      <c r="N754" s="206"/>
      <c r="O754" s="546"/>
    </row>
    <row r="755" spans="1:15" ht="15">
      <c r="A755" s="424">
        <v>205162</v>
      </c>
      <c r="B755" t="str">
        <f t="shared" si="26"/>
        <v>SEVROLL Gemini horné vedenie 1,7m oliva tmav</v>
      </c>
      <c r="C755" s="209">
        <f t="shared" si="25"/>
        <v>25.984110000000001</v>
      </c>
      <c r="D755" s="542" t="s">
        <v>3708</v>
      </c>
      <c r="E755" s="542" t="s">
        <v>1896</v>
      </c>
      <c r="F755" s="542" t="s">
        <v>3709</v>
      </c>
      <c r="G755" s="542" t="s">
        <v>1897</v>
      </c>
      <c r="H755" s="426">
        <v>666.84415999999999</v>
      </c>
      <c r="I755" s="425">
        <v>25.984110000000001</v>
      </c>
      <c r="J755" s="425">
        <v>86.27</v>
      </c>
      <c r="K755" s="425">
        <v>7555.5331500000002</v>
      </c>
      <c r="L755" s="542" t="s">
        <v>622</v>
      </c>
      <c r="M755" s="423" t="s">
        <v>699</v>
      </c>
      <c r="N755" s="206"/>
      <c r="O755" s="546"/>
    </row>
    <row r="756" spans="1:15" ht="15">
      <c r="A756" s="424">
        <v>267882</v>
      </c>
      <c r="B756" t="str">
        <f t="shared" si="26"/>
        <v>SEVROLL Gemini horné vedenie 2,35 biela lesk</v>
      </c>
      <c r="C756" s="209">
        <f t="shared" si="25"/>
        <v>29.503299999999999</v>
      </c>
      <c r="D756" s="542" t="s">
        <v>4564</v>
      </c>
      <c r="E756" s="542" t="s">
        <v>1902</v>
      </c>
      <c r="F756" s="542" t="s">
        <v>4565</v>
      </c>
      <c r="G756" s="542" t="s">
        <v>1903</v>
      </c>
      <c r="H756" s="426">
        <v>757.22752000000003</v>
      </c>
      <c r="I756" s="425">
        <v>29.503299999999999</v>
      </c>
      <c r="J756" s="425">
        <v>105.78</v>
      </c>
      <c r="K756" s="425">
        <v>8579.6022099999991</v>
      </c>
      <c r="L756" s="542" t="s">
        <v>621</v>
      </c>
      <c r="M756" s="423" t="s">
        <v>699</v>
      </c>
      <c r="N756" s="206"/>
      <c r="O756" s="546"/>
    </row>
    <row r="757" spans="1:15" ht="15">
      <c r="A757" s="424">
        <v>205165</v>
      </c>
      <c r="B757" t="str">
        <f t="shared" si="26"/>
        <v>SEVROLL Gemini horné vedenie 2,35m čierna ka</v>
      </c>
      <c r="C757" s="209">
        <f t="shared" si="25"/>
        <v>35.914960000000001</v>
      </c>
      <c r="D757" s="542" t="s">
        <v>4562</v>
      </c>
      <c r="E757" s="542" t="s">
        <v>1904</v>
      </c>
      <c r="F757" s="542" t="s">
        <v>4563</v>
      </c>
      <c r="G757" s="542" t="s">
        <v>1905</v>
      </c>
      <c r="H757" s="426">
        <v>922.33727999999996</v>
      </c>
      <c r="I757" s="425">
        <v>35.914960000000001</v>
      </c>
      <c r="J757" s="425">
        <v>119.51</v>
      </c>
      <c r="K757" s="425">
        <v>10450.34254</v>
      </c>
      <c r="L757" s="542" t="s">
        <v>621</v>
      </c>
      <c r="M757" s="423" t="s">
        <v>699</v>
      </c>
      <c r="N757" s="206"/>
      <c r="O757" s="546"/>
    </row>
    <row r="758" spans="1:15" ht="15">
      <c r="A758" s="424">
        <v>120864</v>
      </c>
      <c r="B758" t="str">
        <f t="shared" si="26"/>
        <v>SEVROL- Gemini horné vedenie 2,35M OLIVA</v>
      </c>
      <c r="C758" s="209">
        <f t="shared" si="25"/>
        <v>35.914960000000001</v>
      </c>
      <c r="D758" s="542" t="s">
        <v>4559</v>
      </c>
      <c r="E758" s="542" t="s">
        <v>1908</v>
      </c>
      <c r="F758" s="542" t="s">
        <v>1910</v>
      </c>
      <c r="G758" s="542" t="s">
        <v>1909</v>
      </c>
      <c r="H758" s="426">
        <v>922.33727999999996</v>
      </c>
      <c r="I758" s="425">
        <v>35.914960000000001</v>
      </c>
      <c r="J758" s="425">
        <v>119.51</v>
      </c>
      <c r="K758" s="425">
        <v>10450.34254</v>
      </c>
      <c r="L758" s="542" t="s">
        <v>621</v>
      </c>
      <c r="M758" s="423" t="s">
        <v>699</v>
      </c>
      <c r="N758" s="206"/>
      <c r="O758" s="546"/>
    </row>
    <row r="759" spans="1:15" ht="15">
      <c r="A759" s="424">
        <v>205164</v>
      </c>
      <c r="B759" t="str">
        <f t="shared" si="26"/>
        <v>SEVROLL Gemini horné vedenie 2,35m oliva tma</v>
      </c>
      <c r="C759" s="209">
        <f t="shared" si="25"/>
        <v>35.914960000000001</v>
      </c>
      <c r="D759" s="542" t="s">
        <v>3704</v>
      </c>
      <c r="E759" s="542" t="s">
        <v>1911</v>
      </c>
      <c r="F759" s="542" t="s">
        <v>3705</v>
      </c>
      <c r="G759" s="542" t="s">
        <v>1912</v>
      </c>
      <c r="H759" s="426">
        <v>922.33727999999996</v>
      </c>
      <c r="I759" s="425">
        <v>35.914960000000001</v>
      </c>
      <c r="J759" s="425">
        <v>119.51</v>
      </c>
      <c r="K759" s="425">
        <v>10450.34254</v>
      </c>
      <c r="L759" s="542" t="s">
        <v>622</v>
      </c>
      <c r="M759" s="423" t="s">
        <v>699</v>
      </c>
      <c r="N759" s="206"/>
      <c r="O759" s="546"/>
    </row>
    <row r="760" spans="1:15" ht="15">
      <c r="A760" s="424">
        <v>252566</v>
      </c>
      <c r="B760" t="str">
        <f t="shared" si="26"/>
        <v>SEVROLL Gemini horné vedenie 3m biela lesk</v>
      </c>
      <c r="C760" s="209">
        <f t="shared" si="25"/>
        <v>37.626339999999999</v>
      </c>
      <c r="D760" s="542" t="s">
        <v>4557</v>
      </c>
      <c r="E760" s="542" t="s">
        <v>1917</v>
      </c>
      <c r="F760" s="542" t="s">
        <v>4558</v>
      </c>
      <c r="G760" s="542" t="s">
        <v>1918</v>
      </c>
      <c r="H760" s="426">
        <v>965.74976000000004</v>
      </c>
      <c r="I760" s="425">
        <v>37.626339999999999</v>
      </c>
      <c r="J760" s="425">
        <v>135.08000000000001</v>
      </c>
      <c r="K760" s="425">
        <v>10942.21823</v>
      </c>
      <c r="L760" s="542" t="s">
        <v>621</v>
      </c>
      <c r="M760" s="423" t="s">
        <v>699</v>
      </c>
      <c r="N760" s="206"/>
      <c r="O760" s="546"/>
    </row>
    <row r="761" spans="1:15" ht="15">
      <c r="A761" s="424">
        <v>205167</v>
      </c>
      <c r="B761" t="str">
        <f t="shared" si="26"/>
        <v>SEVROLL Gemini horné vedenie 3m čierna kartá</v>
      </c>
      <c r="C761" s="209">
        <f t="shared" si="25"/>
        <v>45.8217</v>
      </c>
      <c r="D761" s="542" t="s">
        <v>4555</v>
      </c>
      <c r="E761" s="542" t="s">
        <v>1919</v>
      </c>
      <c r="F761" s="542" t="s">
        <v>4556</v>
      </c>
      <c r="G761" s="542" t="s">
        <v>1920</v>
      </c>
      <c r="H761" s="426">
        <v>1176.4070400000001</v>
      </c>
      <c r="I761" s="425">
        <v>45.8217</v>
      </c>
      <c r="J761" s="425">
        <v>152.54</v>
      </c>
      <c r="K761" s="425">
        <v>13329.024869999999</v>
      </c>
      <c r="L761" s="542" t="s">
        <v>621</v>
      </c>
      <c r="M761" s="423" t="s">
        <v>699</v>
      </c>
      <c r="N761" s="206"/>
      <c r="O761" s="546"/>
    </row>
    <row r="762" spans="1:15" ht="15">
      <c r="A762" s="424">
        <v>120865</v>
      </c>
      <c r="B762" t="str">
        <f t="shared" si="26"/>
        <v>SEVROL- Gemini horné vedenie 3M OLIVA KA</v>
      </c>
      <c r="C762" s="209">
        <f t="shared" si="25"/>
        <v>45.8217</v>
      </c>
      <c r="D762" s="542" t="s">
        <v>4552</v>
      </c>
      <c r="E762" s="542" t="s">
        <v>1923</v>
      </c>
      <c r="F762" s="542" t="s">
        <v>1925</v>
      </c>
      <c r="G762" s="542" t="s">
        <v>1924</v>
      </c>
      <c r="H762" s="426">
        <v>1176.4070400000001</v>
      </c>
      <c r="I762" s="425">
        <v>45.8217</v>
      </c>
      <c r="J762" s="425">
        <v>152.54</v>
      </c>
      <c r="K762" s="425">
        <v>13329.024869999999</v>
      </c>
      <c r="L762" s="542" t="s">
        <v>621</v>
      </c>
      <c r="M762" s="423" t="s">
        <v>699</v>
      </c>
      <c r="N762" s="206"/>
      <c r="O762" s="546"/>
    </row>
    <row r="763" spans="1:15" ht="15">
      <c r="A763" s="424">
        <v>205166</v>
      </c>
      <c r="B763" t="str">
        <f t="shared" si="26"/>
        <v>SEVROLL Gemini horné vedenie 3m oliva tmavá</v>
      </c>
      <c r="C763" s="209">
        <f t="shared" ref="C763:C826" si="27">IF($A$2=1,H763,IF($A$2=2,I763,IF($A$2=3,J763,IF($A$2=4,K763,"zadat jazyk"))))</f>
        <v>45.8217</v>
      </c>
      <c r="D763" s="542" t="s">
        <v>3700</v>
      </c>
      <c r="E763" s="542" t="s">
        <v>1926</v>
      </c>
      <c r="F763" s="542" t="s">
        <v>3701</v>
      </c>
      <c r="G763" s="542" t="s">
        <v>1927</v>
      </c>
      <c r="H763" s="426">
        <v>1176.4070400000001</v>
      </c>
      <c r="I763" s="425">
        <v>45.8217</v>
      </c>
      <c r="J763" s="425">
        <v>152.54</v>
      </c>
      <c r="K763" s="425">
        <v>13329.024869999999</v>
      </c>
      <c r="L763" s="542" t="s">
        <v>622</v>
      </c>
      <c r="M763" s="423" t="s">
        <v>699</v>
      </c>
      <c r="N763" s="206"/>
      <c r="O763" s="546"/>
    </row>
    <row r="764" spans="1:15" ht="15">
      <c r="A764" s="424">
        <v>276749</v>
      </c>
      <c r="B764" t="str">
        <f t="shared" si="26"/>
        <v>SEVROLL Gemini horné vedenie 4,05m biela les</v>
      </c>
      <c r="C764" s="209">
        <f t="shared" si="27"/>
        <v>50.787129999999998</v>
      </c>
      <c r="D764" s="542" t="s">
        <v>4550</v>
      </c>
      <c r="E764" s="542" t="s">
        <v>1932</v>
      </c>
      <c r="F764" s="542" t="s">
        <v>4551</v>
      </c>
      <c r="G764" s="542" t="s">
        <v>1933</v>
      </c>
      <c r="H764" s="426">
        <v>1303.7977599999999</v>
      </c>
      <c r="I764" s="425">
        <v>50.787129999999998</v>
      </c>
      <c r="J764" s="425">
        <v>182.35</v>
      </c>
      <c r="K764" s="425">
        <v>14772.397790000001</v>
      </c>
      <c r="L764" s="542" t="s">
        <v>621</v>
      </c>
      <c r="M764" s="423" t="s">
        <v>699</v>
      </c>
      <c r="N764" s="206"/>
      <c r="O764" s="546"/>
    </row>
    <row r="765" spans="1:15" ht="15">
      <c r="A765" s="424">
        <v>205169</v>
      </c>
      <c r="B765" t="str">
        <f t="shared" si="26"/>
        <v>SEVROLL Gemini horné vedenie 4,05m čierna ka</v>
      </c>
      <c r="C765" s="209">
        <f t="shared" si="27"/>
        <v>61.874969999999998</v>
      </c>
      <c r="D765" s="542" t="s">
        <v>4548</v>
      </c>
      <c r="E765" s="542" t="s">
        <v>1934</v>
      </c>
      <c r="F765" s="542" t="s">
        <v>4549</v>
      </c>
      <c r="G765" s="542" t="s">
        <v>1935</v>
      </c>
      <c r="H765" s="426">
        <v>1588.46976</v>
      </c>
      <c r="I765" s="425">
        <v>61.874969999999998</v>
      </c>
      <c r="J765" s="425">
        <v>205.94</v>
      </c>
      <c r="K765" s="425">
        <v>17997.812150000002</v>
      </c>
      <c r="L765" s="542" t="s">
        <v>621</v>
      </c>
      <c r="M765" s="423" t="s">
        <v>699</v>
      </c>
      <c r="N765" s="206"/>
      <c r="O765" s="546"/>
    </row>
    <row r="766" spans="1:15" ht="15">
      <c r="A766" s="424">
        <v>120867</v>
      </c>
      <c r="B766" t="str">
        <f t="shared" si="26"/>
        <v>SEVROL- Gemini horné vedenie 4,05M OLIVA</v>
      </c>
      <c r="C766" s="209">
        <f t="shared" si="27"/>
        <v>61.874969999999998</v>
      </c>
      <c r="D766" s="542" t="s">
        <v>4546</v>
      </c>
      <c r="E766" s="542" t="s">
        <v>1939</v>
      </c>
      <c r="F766" s="542" t="s">
        <v>1941</v>
      </c>
      <c r="G766" s="542" t="s">
        <v>1940</v>
      </c>
      <c r="H766" s="426">
        <v>1588.46976</v>
      </c>
      <c r="I766" s="425">
        <v>61.874969999999998</v>
      </c>
      <c r="J766" s="425">
        <v>205.94</v>
      </c>
      <c r="K766" s="425">
        <v>17997.812150000002</v>
      </c>
      <c r="L766" s="542" t="s">
        <v>621</v>
      </c>
      <c r="M766" s="423" t="s">
        <v>699</v>
      </c>
      <c r="N766" s="206"/>
      <c r="O766" s="546"/>
    </row>
    <row r="767" spans="1:15" ht="15">
      <c r="A767" s="424">
        <v>205168</v>
      </c>
      <c r="B767" t="str">
        <f t="shared" si="26"/>
        <v>SEVROLL Gemini horné vedenie 4,05m oliva tma</v>
      </c>
      <c r="C767" s="209">
        <f t="shared" si="27"/>
        <v>61.874969999999998</v>
      </c>
      <c r="D767" s="542" t="s">
        <v>3696</v>
      </c>
      <c r="E767" s="542" t="s">
        <v>1942</v>
      </c>
      <c r="F767" s="542" t="s">
        <v>3697</v>
      </c>
      <c r="G767" s="542" t="s">
        <v>1943</v>
      </c>
      <c r="H767" s="426">
        <v>1588.46976</v>
      </c>
      <c r="I767" s="425">
        <v>61.874969999999998</v>
      </c>
      <c r="J767" s="425">
        <v>205.94</v>
      </c>
      <c r="K767" s="425">
        <v>17997.812150000002</v>
      </c>
      <c r="L767" s="542" t="s">
        <v>622</v>
      </c>
      <c r="M767" s="423" t="s">
        <v>699</v>
      </c>
      <c r="N767" s="206"/>
      <c r="O767" s="546"/>
    </row>
    <row r="768" spans="1:15" ht="15">
      <c r="A768" s="424">
        <v>311586</v>
      </c>
      <c r="B768" t="str">
        <f t="shared" si="26"/>
        <v>SEVROLL Gemini horné vedenie 6m biela lesk</v>
      </c>
      <c r="C768" s="209">
        <f t="shared" si="27"/>
        <v>75.276790000000005</v>
      </c>
      <c r="D768" s="542" t="s">
        <v>3692</v>
      </c>
      <c r="E768" s="542" t="s">
        <v>1948</v>
      </c>
      <c r="F768" s="542" t="s">
        <v>3693</v>
      </c>
      <c r="G768" s="542" t="s">
        <v>1949</v>
      </c>
      <c r="H768" s="426">
        <v>1932.9228800000001</v>
      </c>
      <c r="I768" s="425">
        <v>75.276790000000005</v>
      </c>
      <c r="J768" s="425">
        <v>270.14</v>
      </c>
      <c r="K768" s="425">
        <v>21900.563539999999</v>
      </c>
      <c r="L768" s="542" t="s">
        <v>622</v>
      </c>
      <c r="M768" s="423" t="s">
        <v>699</v>
      </c>
      <c r="N768" s="206"/>
      <c r="O768" s="546"/>
    </row>
    <row r="769" spans="1:15" ht="15">
      <c r="A769" s="424">
        <v>225372</v>
      </c>
      <c r="B769" t="str">
        <f t="shared" si="26"/>
        <v>SEVROLL Gemini horné vedenie 6m čierna kartá</v>
      </c>
      <c r="C769" s="209">
        <f t="shared" si="27"/>
        <v>91.546989999999994</v>
      </c>
      <c r="D769" s="542" t="s">
        <v>3690</v>
      </c>
      <c r="E769" s="542" t="s">
        <v>1950</v>
      </c>
      <c r="F769" s="542" t="s">
        <v>3691</v>
      </c>
      <c r="G769" s="542" t="s">
        <v>1951</v>
      </c>
      <c r="H769" s="426">
        <v>2350.67904</v>
      </c>
      <c r="I769" s="425">
        <v>91.546989999999994</v>
      </c>
      <c r="J769" s="425">
        <v>305.07</v>
      </c>
      <c r="K769" s="425">
        <v>26633.859130000001</v>
      </c>
      <c r="L769" s="542" t="s">
        <v>622</v>
      </c>
      <c r="M769" s="423" t="s">
        <v>699</v>
      </c>
      <c r="N769" s="206"/>
      <c r="O769" s="546"/>
    </row>
    <row r="770" spans="1:15" ht="15">
      <c r="A770" s="424">
        <v>225370</v>
      </c>
      <c r="B770" t="str">
        <f t="shared" si="26"/>
        <v>SEVROLL Gemini horné vedenie 6m oliva kartáč</v>
      </c>
      <c r="C770" s="209">
        <f t="shared" si="27"/>
        <v>91.546989999999994</v>
      </c>
      <c r="D770" s="542" t="s">
        <v>3688</v>
      </c>
      <c r="E770" s="542" t="s">
        <v>1954</v>
      </c>
      <c r="F770" s="542" t="s">
        <v>3689</v>
      </c>
      <c r="G770" s="542" t="s">
        <v>1955</v>
      </c>
      <c r="H770" s="426">
        <v>2350.67904</v>
      </c>
      <c r="I770" s="425">
        <v>91.546989999999994</v>
      </c>
      <c r="J770" s="425">
        <v>305.07</v>
      </c>
      <c r="K770" s="425">
        <v>26633.859130000001</v>
      </c>
      <c r="L770" s="542" t="s">
        <v>622</v>
      </c>
      <c r="M770" s="423" t="s">
        <v>699</v>
      </c>
      <c r="N770" s="206"/>
      <c r="O770" s="546"/>
    </row>
    <row r="771" spans="1:15" ht="15">
      <c r="A771" s="424">
        <v>225371</v>
      </c>
      <c r="B771" t="str">
        <f t="shared" si="26"/>
        <v>SEVROLL Gemini horné vedenie 6m oliva tmavá</v>
      </c>
      <c r="C771" s="209">
        <f t="shared" si="27"/>
        <v>91.546989999999994</v>
      </c>
      <c r="D771" s="542" t="s">
        <v>3686</v>
      </c>
      <c r="E771" s="542" t="s">
        <v>1956</v>
      </c>
      <c r="F771" s="542" t="s">
        <v>3687</v>
      </c>
      <c r="G771" s="542" t="s">
        <v>1957</v>
      </c>
      <c r="H771" s="426">
        <v>2350.67904</v>
      </c>
      <c r="I771" s="425">
        <v>91.546989999999994</v>
      </c>
      <c r="J771" s="425">
        <v>305.07</v>
      </c>
      <c r="K771" s="425">
        <v>26633.859130000001</v>
      </c>
      <c r="L771" s="542" t="s">
        <v>622</v>
      </c>
      <c r="M771" s="423" t="s">
        <v>699</v>
      </c>
      <c r="N771" s="206"/>
      <c r="O771" s="546"/>
    </row>
    <row r="772" spans="1:15" ht="15">
      <c r="A772" s="424">
        <v>98070</v>
      </c>
      <c r="B772" t="str">
        <f t="shared" si="26"/>
        <v>SEVROLL Gemini-2 úch.lišta 2,7m strieborná</v>
      </c>
      <c r="C772" s="209">
        <f t="shared" si="27"/>
        <v>20.39198</v>
      </c>
      <c r="D772" s="542" t="s">
        <v>4510</v>
      </c>
      <c r="E772" s="542" t="s">
        <v>1099</v>
      </c>
      <c r="F772" s="542" t="s">
        <v>4511</v>
      </c>
      <c r="G772" s="542" t="s">
        <v>1975</v>
      </c>
      <c r="H772" s="426">
        <v>547.28192000000001</v>
      </c>
      <c r="I772" s="425">
        <v>20.39198</v>
      </c>
      <c r="J772" s="425">
        <v>80.959999999999994</v>
      </c>
      <c r="K772" s="425">
        <v>6200.8591299999998</v>
      </c>
      <c r="L772" s="542" t="s">
        <v>621</v>
      </c>
      <c r="M772" s="423" t="s">
        <v>699</v>
      </c>
      <c r="N772" s="206"/>
      <c r="O772" s="546"/>
    </row>
    <row r="773" spans="1:15" ht="15">
      <c r="A773" s="424">
        <v>276737</v>
      </c>
      <c r="B773" t="str">
        <f t="shared" si="26"/>
        <v>SEVROLL horná vodiaca lišta 1,7m biela les</v>
      </c>
      <c r="C773" s="209">
        <f t="shared" si="27"/>
        <v>12.41356</v>
      </c>
      <c r="D773" s="542" t="s">
        <v>4504</v>
      </c>
      <c r="E773" s="542" t="s">
        <v>1473</v>
      </c>
      <c r="F773" s="542" t="s">
        <v>4505</v>
      </c>
      <c r="G773" s="542" t="s">
        <v>1977</v>
      </c>
      <c r="H773" s="426">
        <v>333.06623999999999</v>
      </c>
      <c r="I773" s="425">
        <v>12.41356</v>
      </c>
      <c r="J773" s="425">
        <v>61.48</v>
      </c>
      <c r="K773" s="425">
        <v>3773.7348200000001</v>
      </c>
      <c r="L773" s="542" t="s">
        <v>621</v>
      </c>
      <c r="M773" s="423" t="s">
        <v>699</v>
      </c>
      <c r="N773" s="206"/>
      <c r="O773" s="546"/>
    </row>
    <row r="774" spans="1:15" ht="15">
      <c r="A774" s="424">
        <v>205105</v>
      </c>
      <c r="B774" t="str">
        <f t="shared" si="26"/>
        <v>SEVROLL VODIACA LIŠTA 1,7M čierna KARTÁČ.</v>
      </c>
      <c r="C774" s="209">
        <f t="shared" si="27"/>
        <v>14.46869</v>
      </c>
      <c r="D774" s="542" t="s">
        <v>3600</v>
      </c>
      <c r="E774" s="542" t="s">
        <v>1978</v>
      </c>
      <c r="F774" s="542" t="s">
        <v>3601</v>
      </c>
      <c r="G774" s="542" t="s">
        <v>1979</v>
      </c>
      <c r="H774" s="426">
        <v>423.18696</v>
      </c>
      <c r="I774" s="425">
        <v>14.46869</v>
      </c>
      <c r="J774" s="425">
        <v>64.97</v>
      </c>
      <c r="K774" s="425">
        <v>3894.6878499999998</v>
      </c>
      <c r="L774" s="542" t="s">
        <v>621</v>
      </c>
      <c r="M774" s="423" t="s">
        <v>699</v>
      </c>
      <c r="N774" s="206"/>
      <c r="O774" s="546"/>
    </row>
    <row r="775" spans="1:15" ht="15">
      <c r="A775" s="424">
        <v>89231</v>
      </c>
      <c r="B775" t="str">
        <f t="shared" si="26"/>
        <v>SEVROLL-206 VOD.LIŠTA HOR.1,7M OLIVOVÁ</v>
      </c>
      <c r="C775" s="209">
        <f t="shared" si="27"/>
        <v>10.081759999999999</v>
      </c>
      <c r="D775" s="542" t="s">
        <v>4503</v>
      </c>
      <c r="E775" s="542" t="s">
        <v>265</v>
      </c>
      <c r="F775" s="542" t="s">
        <v>57</v>
      </c>
      <c r="G775" s="542" t="s">
        <v>1980</v>
      </c>
      <c r="H775" s="426">
        <v>292.23360000000002</v>
      </c>
      <c r="I775" s="425">
        <v>10.081759999999999</v>
      </c>
      <c r="J775" s="425">
        <v>52.03</v>
      </c>
      <c r="K775" s="425">
        <v>2709.3480800000002</v>
      </c>
      <c r="L775" s="542" t="s">
        <v>621</v>
      </c>
      <c r="M775" s="423" t="s">
        <v>699</v>
      </c>
      <c r="N775" s="206"/>
      <c r="O775" s="546"/>
    </row>
    <row r="776" spans="1:15" ht="15">
      <c r="A776" s="424">
        <v>119414</v>
      </c>
      <c r="B776" t="str">
        <f t="shared" si="26"/>
        <v>SEVROLL horná vodiaca lišta 1,7m oliva kart</v>
      </c>
      <c r="C776" s="209">
        <f t="shared" si="27"/>
        <v>14.46869</v>
      </c>
      <c r="D776" s="542" t="s">
        <v>4501</v>
      </c>
      <c r="E776" s="542" t="s">
        <v>1981</v>
      </c>
      <c r="F776" s="542" t="s">
        <v>4502</v>
      </c>
      <c r="G776" s="542" t="s">
        <v>1982</v>
      </c>
      <c r="H776" s="426">
        <v>439.35120000000001</v>
      </c>
      <c r="I776" s="425">
        <v>14.46869</v>
      </c>
      <c r="J776" s="425">
        <v>64.97</v>
      </c>
      <c r="K776" s="425">
        <v>3894.6878499999998</v>
      </c>
      <c r="L776" s="542" t="s">
        <v>621</v>
      </c>
      <c r="M776" s="423" t="s">
        <v>699</v>
      </c>
      <c r="N776" s="206"/>
      <c r="O776" s="546"/>
    </row>
    <row r="777" spans="1:15" ht="15">
      <c r="A777" s="424">
        <v>205103</v>
      </c>
      <c r="B777" t="str">
        <f t="shared" si="26"/>
        <v>SEVROLL VODIACA LIŠTA 1,7M OLIVA TM.KARTÁČ.</v>
      </c>
      <c r="C777" s="209">
        <f t="shared" si="27"/>
        <v>14.46869</v>
      </c>
      <c r="D777" s="542" t="s">
        <v>3598</v>
      </c>
      <c r="E777" s="542" t="s">
        <v>1983</v>
      </c>
      <c r="F777" s="542" t="s">
        <v>3599</v>
      </c>
      <c r="G777" s="542" t="s">
        <v>1984</v>
      </c>
      <c r="H777" s="426">
        <v>343.74144000000001</v>
      </c>
      <c r="I777" s="425">
        <v>14.46869</v>
      </c>
      <c r="J777" s="425">
        <v>64.97</v>
      </c>
      <c r="K777" s="425">
        <v>3894.6878499999998</v>
      </c>
      <c r="L777" s="542" t="s">
        <v>622</v>
      </c>
      <c r="M777" s="423" t="s">
        <v>699</v>
      </c>
      <c r="N777" s="206"/>
      <c r="O777" s="546"/>
    </row>
    <row r="778" spans="1:15" ht="15">
      <c r="A778" s="424">
        <v>89230</v>
      </c>
      <c r="B778" t="str">
        <f t="shared" si="26"/>
        <v>SEVROLL-206 VOD.LIŠTA HOR.1,7M STRIEBOR.</v>
      </c>
      <c r="C778" s="209">
        <f t="shared" si="27"/>
        <v>9.6185399999999994</v>
      </c>
      <c r="D778" s="542" t="s">
        <v>4500</v>
      </c>
      <c r="E778" s="542" t="s">
        <v>264</v>
      </c>
      <c r="F778" s="542" t="s">
        <v>103</v>
      </c>
      <c r="G778" s="542" t="s">
        <v>1985</v>
      </c>
      <c r="H778" s="426">
        <v>292.23360000000002</v>
      </c>
      <c r="I778" s="425">
        <v>9.6185399999999994</v>
      </c>
      <c r="J778" s="425">
        <v>47.29</v>
      </c>
      <c r="K778" s="425">
        <v>2588.3950300000001</v>
      </c>
      <c r="L778" s="542" t="s">
        <v>621</v>
      </c>
      <c r="M778" s="423" t="s">
        <v>699</v>
      </c>
      <c r="N778" s="206"/>
      <c r="O778" s="546"/>
    </row>
    <row r="779" spans="1:15" ht="15">
      <c r="A779" s="424">
        <v>267944</v>
      </c>
      <c r="B779" t="str">
        <f t="shared" si="26"/>
        <v>SEVROLL horná vod.lišta 2,35m biela lesk</v>
      </c>
      <c r="C779" s="209">
        <f t="shared" si="27"/>
        <v>17.13794</v>
      </c>
      <c r="D779" s="542" t="s">
        <v>4498</v>
      </c>
      <c r="E779" s="542" t="s">
        <v>1988</v>
      </c>
      <c r="F779" s="542" t="s">
        <v>4499</v>
      </c>
      <c r="G779" s="542" t="s">
        <v>1989</v>
      </c>
      <c r="H779" s="426">
        <v>459.74527999999998</v>
      </c>
      <c r="I779" s="425">
        <v>17.13794</v>
      </c>
      <c r="J779" s="425">
        <v>85.01</v>
      </c>
      <c r="K779" s="425">
        <v>5209.0442000000003</v>
      </c>
      <c r="L779" s="542" t="s">
        <v>621</v>
      </c>
      <c r="M779" s="423" t="s">
        <v>699</v>
      </c>
      <c r="N779" s="206"/>
      <c r="O779" s="546"/>
    </row>
    <row r="780" spans="1:15" ht="15">
      <c r="A780" s="424">
        <v>205157</v>
      </c>
      <c r="B780" t="str">
        <f t="shared" si="26"/>
        <v>SEVROLL VODIACA LIŠTA 2,35M čierna KARTÁČ</v>
      </c>
      <c r="C780" s="209">
        <f t="shared" si="27"/>
        <v>20.05453</v>
      </c>
      <c r="D780" s="542" t="s">
        <v>4496</v>
      </c>
      <c r="E780" s="542" t="s">
        <v>1990</v>
      </c>
      <c r="F780" s="542" t="s">
        <v>4497</v>
      </c>
      <c r="G780" s="542" t="s">
        <v>1991</v>
      </c>
      <c r="H780" s="426">
        <v>608.4864</v>
      </c>
      <c r="I780" s="425">
        <v>20.05453</v>
      </c>
      <c r="J780" s="425">
        <v>89.82</v>
      </c>
      <c r="K780" s="425">
        <v>5394.5055400000001</v>
      </c>
      <c r="L780" s="542" t="s">
        <v>621</v>
      </c>
      <c r="M780" s="423" t="s">
        <v>699</v>
      </c>
      <c r="N780" s="206"/>
      <c r="O780" s="546"/>
    </row>
    <row r="781" spans="1:15" ht="15">
      <c r="A781" s="424">
        <v>89233</v>
      </c>
      <c r="B781" t="str">
        <f t="shared" si="26"/>
        <v>SEVROLL-207 VOD.LIŠTA HOR.2,35M OLIVOVÁ</v>
      </c>
      <c r="C781" s="209">
        <f t="shared" si="27"/>
        <v>13.97822</v>
      </c>
      <c r="D781" s="542" t="s">
        <v>4495</v>
      </c>
      <c r="E781" s="542" t="s">
        <v>267</v>
      </c>
      <c r="F781" s="542" t="s">
        <v>58</v>
      </c>
      <c r="G781" s="542" t="s">
        <v>1992</v>
      </c>
      <c r="H781" s="426">
        <v>405.32400000000001</v>
      </c>
      <c r="I781" s="425">
        <v>13.97822</v>
      </c>
      <c r="J781" s="425">
        <v>71.94</v>
      </c>
      <c r="K781" s="425">
        <v>3757.6077399999999</v>
      </c>
      <c r="L781" s="542" t="s">
        <v>621</v>
      </c>
      <c r="M781" s="423" t="s">
        <v>699</v>
      </c>
      <c r="N781" s="206"/>
      <c r="O781" s="546"/>
    </row>
    <row r="782" spans="1:15" ht="15">
      <c r="A782" s="424">
        <v>119415</v>
      </c>
      <c r="B782" t="str">
        <f t="shared" si="26"/>
        <v>SEVROLL horná vodiaca lišta 2,35m oliva kart</v>
      </c>
      <c r="C782" s="209">
        <f t="shared" si="27"/>
        <v>20.05453</v>
      </c>
      <c r="D782" s="542" t="s">
        <v>4493</v>
      </c>
      <c r="E782" s="542" t="s">
        <v>1993</v>
      </c>
      <c r="F782" s="542" t="s">
        <v>4494</v>
      </c>
      <c r="G782" s="542" t="s">
        <v>1994</v>
      </c>
      <c r="H782" s="426">
        <v>608.4864</v>
      </c>
      <c r="I782" s="425">
        <v>20.05453</v>
      </c>
      <c r="J782" s="425">
        <v>89.82</v>
      </c>
      <c r="K782" s="425">
        <v>5394.5055400000001</v>
      </c>
      <c r="L782" s="542" t="s">
        <v>621</v>
      </c>
      <c r="M782" s="423" t="s">
        <v>699</v>
      </c>
      <c r="N782" s="206"/>
      <c r="O782" s="546"/>
    </row>
    <row r="783" spans="1:15" ht="15">
      <c r="A783" s="424">
        <v>205156</v>
      </c>
      <c r="B783" t="str">
        <f t="shared" si="26"/>
        <v>SEVROLL VODIACA LIŠTA 2,35M OLIVA TM. KARTÁ</v>
      </c>
      <c r="C783" s="209">
        <f t="shared" si="27"/>
        <v>20.05453</v>
      </c>
      <c r="D783" s="542" t="s">
        <v>3596</v>
      </c>
      <c r="E783" s="542" t="s">
        <v>1995</v>
      </c>
      <c r="F783" s="542" t="s">
        <v>3597</v>
      </c>
      <c r="G783" s="542" t="s">
        <v>1996</v>
      </c>
      <c r="H783" s="426">
        <v>476.11392000000001</v>
      </c>
      <c r="I783" s="425">
        <v>20.05453</v>
      </c>
      <c r="J783" s="425">
        <v>89.82</v>
      </c>
      <c r="K783" s="425">
        <v>5394.5055400000001</v>
      </c>
      <c r="L783" s="542" t="s">
        <v>622</v>
      </c>
      <c r="M783" s="423" t="s">
        <v>699</v>
      </c>
      <c r="N783" s="206"/>
      <c r="O783" s="546"/>
    </row>
    <row r="784" spans="1:15" ht="15">
      <c r="A784" s="424">
        <v>89232</v>
      </c>
      <c r="B784" t="str">
        <f t="shared" si="26"/>
        <v>SEVROLL-207 VOD.LIŠTA HOR.2,35M STRIEBOR</v>
      </c>
      <c r="C784" s="209">
        <f t="shared" si="27"/>
        <v>13.378769999999999</v>
      </c>
      <c r="D784" s="542" t="s">
        <v>4492</v>
      </c>
      <c r="E784" s="542" t="s">
        <v>266</v>
      </c>
      <c r="F784" s="542" t="s">
        <v>104</v>
      </c>
      <c r="G784" s="542" t="s">
        <v>1997</v>
      </c>
      <c r="H784" s="426">
        <v>405.32400000000001</v>
      </c>
      <c r="I784" s="425">
        <v>13.378769999999999</v>
      </c>
      <c r="J784" s="425">
        <v>65.39</v>
      </c>
      <c r="K784" s="425">
        <v>3596.3370199999999</v>
      </c>
      <c r="L784" s="542" t="s">
        <v>621</v>
      </c>
      <c r="M784" s="423" t="s">
        <v>699</v>
      </c>
      <c r="N784" s="206"/>
      <c r="O784" s="546"/>
    </row>
    <row r="785" spans="1:15" ht="15">
      <c r="A785" s="424">
        <v>89252</v>
      </c>
      <c r="B785" t="str">
        <f t="shared" si="26"/>
        <v>SEVROLL-207 LIŠTA VOD.HORNÁ ZLATÁ 2,35m</v>
      </c>
      <c r="C785" s="209">
        <f t="shared" si="27"/>
        <v>11.83506</v>
      </c>
      <c r="D785" s="542" t="s">
        <v>3595</v>
      </c>
      <c r="E785" s="542" t="s">
        <v>1998</v>
      </c>
      <c r="F785" s="542" t="s">
        <v>86</v>
      </c>
      <c r="G785" s="542" t="s">
        <v>1999</v>
      </c>
      <c r="H785" s="426">
        <v>317.40928000000002</v>
      </c>
      <c r="I785" s="425">
        <v>11.83506</v>
      </c>
      <c r="J785" s="425">
        <v>71.94</v>
      </c>
      <c r="K785" s="425">
        <v>3596.3370199999999</v>
      </c>
      <c r="L785" s="542" t="s">
        <v>622</v>
      </c>
      <c r="M785" s="423" t="s">
        <v>699</v>
      </c>
      <c r="N785" s="206"/>
      <c r="O785" s="546"/>
    </row>
    <row r="786" spans="1:15" ht="15">
      <c r="A786" s="424">
        <v>265066</v>
      </c>
      <c r="B786" t="str">
        <f t="shared" si="26"/>
        <v>SEVROLL horná vodiaca lišta 3m biela lesk</v>
      </c>
      <c r="C786" s="209">
        <f t="shared" si="27"/>
        <v>21.83822</v>
      </c>
      <c r="D786" s="542" t="s">
        <v>4490</v>
      </c>
      <c r="E786" s="542" t="s">
        <v>2000</v>
      </c>
      <c r="F786" s="542" t="s">
        <v>4491</v>
      </c>
      <c r="G786" s="542" t="s">
        <v>2001</v>
      </c>
      <c r="H786" s="426">
        <v>586.42431999999997</v>
      </c>
      <c r="I786" s="425">
        <v>21.83822</v>
      </c>
      <c r="J786" s="425">
        <v>108.49</v>
      </c>
      <c r="K786" s="425">
        <v>6644.3535899999997</v>
      </c>
      <c r="L786" s="542" t="s">
        <v>621</v>
      </c>
      <c r="M786" s="423" t="s">
        <v>699</v>
      </c>
      <c r="N786" s="206"/>
      <c r="O786" s="546"/>
    </row>
    <row r="787" spans="1:15" ht="15">
      <c r="A787" s="424">
        <v>205159</v>
      </c>
      <c r="B787" t="str">
        <f t="shared" si="26"/>
        <v>SEVROLL VODIACA LIŠTA 3M čierna KARTÁČ.</v>
      </c>
      <c r="C787" s="209">
        <f t="shared" si="27"/>
        <v>25.558620000000001</v>
      </c>
      <c r="D787" s="542" t="s">
        <v>4488</v>
      </c>
      <c r="E787" s="542" t="s">
        <v>2002</v>
      </c>
      <c r="F787" s="542" t="s">
        <v>4489</v>
      </c>
      <c r="G787" s="542" t="s">
        <v>2003</v>
      </c>
      <c r="H787" s="426">
        <v>775.62</v>
      </c>
      <c r="I787" s="425">
        <v>25.558620000000001</v>
      </c>
      <c r="J787" s="425">
        <v>114.2</v>
      </c>
      <c r="K787" s="425">
        <v>6878.1961300000003</v>
      </c>
      <c r="L787" s="542" t="s">
        <v>621</v>
      </c>
      <c r="M787" s="423" t="s">
        <v>699</v>
      </c>
      <c r="N787" s="206"/>
      <c r="O787" s="546"/>
    </row>
    <row r="788" spans="1:15" ht="15">
      <c r="A788" s="424">
        <v>89235</v>
      </c>
      <c r="B788" t="str">
        <f t="shared" si="26"/>
        <v>SEVROLL-208 VOD.LIŠTA HOR 3M OLIVOVÁ</v>
      </c>
      <c r="C788" s="209">
        <f t="shared" si="27"/>
        <v>17.847439999999999</v>
      </c>
      <c r="D788" s="542" t="s">
        <v>4487</v>
      </c>
      <c r="E788" s="542" t="s">
        <v>269</v>
      </c>
      <c r="F788" s="542" t="s">
        <v>59</v>
      </c>
      <c r="G788" s="542" t="s">
        <v>2004</v>
      </c>
      <c r="H788" s="426">
        <v>517.41359999999997</v>
      </c>
      <c r="I788" s="425">
        <v>17.847439999999999</v>
      </c>
      <c r="J788" s="425">
        <v>91.81</v>
      </c>
      <c r="K788" s="425">
        <v>4797.8038699999997</v>
      </c>
      <c r="L788" s="542" t="s">
        <v>621</v>
      </c>
      <c r="M788" s="423" t="s">
        <v>699</v>
      </c>
      <c r="N788" s="206"/>
      <c r="O788" s="546"/>
    </row>
    <row r="789" spans="1:15" ht="15">
      <c r="A789" s="424">
        <v>119416</v>
      </c>
      <c r="B789" t="str">
        <f t="shared" si="26"/>
        <v>SEVROLL horná vodiaca lišta 3m oliva kartáč.</v>
      </c>
      <c r="C789" s="209">
        <f t="shared" si="27"/>
        <v>25.558620000000001</v>
      </c>
      <c r="D789" s="542" t="s">
        <v>4485</v>
      </c>
      <c r="E789" s="542" t="s">
        <v>2005</v>
      </c>
      <c r="F789" s="542" t="s">
        <v>4486</v>
      </c>
      <c r="G789" s="542" t="s">
        <v>2006</v>
      </c>
      <c r="H789" s="426">
        <v>775.62</v>
      </c>
      <c r="I789" s="425">
        <v>25.558620000000001</v>
      </c>
      <c r="J789" s="425">
        <v>114.2</v>
      </c>
      <c r="K789" s="425">
        <v>6878.1961300000003</v>
      </c>
      <c r="L789" s="542" t="s">
        <v>621</v>
      </c>
      <c r="M789" s="423" t="s">
        <v>699</v>
      </c>
      <c r="N789" s="206"/>
      <c r="O789" s="546"/>
    </row>
    <row r="790" spans="1:15" ht="15">
      <c r="A790" s="424">
        <v>205158</v>
      </c>
      <c r="B790" t="str">
        <f t="shared" si="26"/>
        <v>SEVROLL VODIACA LIŠTA 3M OLIVA TM. KARTÁČ.</v>
      </c>
      <c r="C790" s="209">
        <f t="shared" si="27"/>
        <v>25.558620000000001</v>
      </c>
      <c r="D790" s="542" t="s">
        <v>3593</v>
      </c>
      <c r="E790" s="542" t="s">
        <v>2007</v>
      </c>
      <c r="F790" s="542" t="s">
        <v>3594</v>
      </c>
      <c r="G790" s="542" t="s">
        <v>2008</v>
      </c>
      <c r="H790" s="426">
        <v>607.06304</v>
      </c>
      <c r="I790" s="425">
        <v>25.558620000000001</v>
      </c>
      <c r="J790" s="425">
        <v>114.2</v>
      </c>
      <c r="K790" s="425">
        <v>6878.1961300000003</v>
      </c>
      <c r="L790" s="542" t="s">
        <v>622</v>
      </c>
      <c r="M790" s="423" t="s">
        <v>699</v>
      </c>
      <c r="N790" s="206"/>
      <c r="O790" s="546"/>
    </row>
    <row r="791" spans="1:15" ht="15">
      <c r="A791" s="424">
        <v>89234</v>
      </c>
      <c r="B791" t="str">
        <f t="shared" si="26"/>
        <v>SEVROLL-208 VOD.LIŠTA HOR 3M STRIEBOR.</v>
      </c>
      <c r="C791" s="209">
        <f t="shared" si="27"/>
        <v>17.05725</v>
      </c>
      <c r="D791" s="542" t="s">
        <v>4484</v>
      </c>
      <c r="E791" s="542" t="s">
        <v>268</v>
      </c>
      <c r="F791" s="542" t="s">
        <v>105</v>
      </c>
      <c r="G791" s="542" t="s">
        <v>2009</v>
      </c>
      <c r="H791" s="426">
        <v>517.41359999999997</v>
      </c>
      <c r="I791" s="425">
        <v>17.05725</v>
      </c>
      <c r="J791" s="425">
        <v>83.45</v>
      </c>
      <c r="K791" s="425">
        <v>4588.15193</v>
      </c>
      <c r="L791" s="542" t="s">
        <v>621</v>
      </c>
      <c r="M791" s="423" t="s">
        <v>699</v>
      </c>
      <c r="N791" s="206"/>
      <c r="O791" s="546"/>
    </row>
    <row r="792" spans="1:15" ht="15">
      <c r="A792" s="424">
        <v>89253</v>
      </c>
      <c r="B792" t="str">
        <f t="shared" si="26"/>
        <v>SEVROLL-208 LIŠTA VOD.HORNÁ ZLATÁ 3,00m</v>
      </c>
      <c r="C792" s="209">
        <f t="shared" si="27"/>
        <v>15.0891</v>
      </c>
      <c r="D792" s="542" t="s">
        <v>3592</v>
      </c>
      <c r="E792" s="542" t="s">
        <v>2010</v>
      </c>
      <c r="F792" s="542" t="s">
        <v>87</v>
      </c>
      <c r="G792" s="542" t="s">
        <v>2011</v>
      </c>
      <c r="H792" s="426">
        <v>404.94592</v>
      </c>
      <c r="I792" s="425">
        <v>15.0891</v>
      </c>
      <c r="J792" s="425">
        <v>91.81</v>
      </c>
      <c r="K792" s="425">
        <v>4588.15193</v>
      </c>
      <c r="L792" s="542" t="s">
        <v>622</v>
      </c>
      <c r="M792" s="423" t="s">
        <v>699</v>
      </c>
      <c r="N792" s="206"/>
      <c r="O792" s="546"/>
    </row>
    <row r="793" spans="1:15" ht="15">
      <c r="A793" s="424">
        <v>224149</v>
      </c>
      <c r="B793" t="str">
        <f t="shared" si="26"/>
        <v>SEVROLL hor.vod.lišta Simple/Blue 1,5m(10mm)oliva</v>
      </c>
      <c r="C793" s="209">
        <f t="shared" si="27"/>
        <v>7.9836600000000004</v>
      </c>
      <c r="D793" s="542" t="s">
        <v>3589</v>
      </c>
      <c r="E793" s="542" t="s">
        <v>3590</v>
      </c>
      <c r="F793" s="542" t="s">
        <v>3298</v>
      </c>
      <c r="G793" s="542" t="s">
        <v>3591</v>
      </c>
      <c r="H793" s="426">
        <v>184.64760000000001</v>
      </c>
      <c r="I793" s="425">
        <v>7.9836600000000004</v>
      </c>
      <c r="J793" s="425">
        <v>24.85</v>
      </c>
      <c r="K793" s="425">
        <v>1983.6298400000001</v>
      </c>
      <c r="L793" s="542" t="s">
        <v>622</v>
      </c>
      <c r="M793" s="423" t="s">
        <v>699</v>
      </c>
      <c r="N793" s="206"/>
      <c r="O793" s="546"/>
    </row>
    <row r="794" spans="1:15" ht="15">
      <c r="A794" s="424">
        <v>224151</v>
      </c>
      <c r="B794" t="str">
        <f t="shared" si="26"/>
        <v>SEVROLL hor.vod.lišta Simple/Blue 2,5m(10mm)oliva</v>
      </c>
      <c r="C794" s="209">
        <f t="shared" si="27"/>
        <v>13.21528</v>
      </c>
      <c r="D794" s="542" t="s">
        <v>3585</v>
      </c>
      <c r="E794" s="542" t="s">
        <v>3586</v>
      </c>
      <c r="F794" s="542" t="s">
        <v>3588</v>
      </c>
      <c r="G794" s="542" t="s">
        <v>3587</v>
      </c>
      <c r="H794" s="426">
        <v>306.2448</v>
      </c>
      <c r="I794" s="425">
        <v>13.21528</v>
      </c>
      <c r="J794" s="425">
        <v>41.38</v>
      </c>
      <c r="K794" s="425">
        <v>3289.9226399999998</v>
      </c>
      <c r="L794" s="542" t="s">
        <v>622</v>
      </c>
      <c r="M794" s="423" t="s">
        <v>699</v>
      </c>
      <c r="N794" s="206"/>
      <c r="O794" s="546"/>
    </row>
    <row r="795" spans="1:15" ht="15">
      <c r="A795" s="424">
        <v>224150</v>
      </c>
      <c r="B795" t="str">
        <f t="shared" si="26"/>
        <v>SEVROLL hor.vod.lišta Simple/Blue 2m(10mm)oliva</v>
      </c>
      <c r="C795" s="209">
        <f t="shared" si="27"/>
        <v>10.626720000000001</v>
      </c>
      <c r="D795" s="542" t="s">
        <v>3575</v>
      </c>
      <c r="E795" s="542" t="s">
        <v>3576</v>
      </c>
      <c r="F795" s="542" t="s">
        <v>3578</v>
      </c>
      <c r="G795" s="542" t="s">
        <v>3577</v>
      </c>
      <c r="H795" s="426">
        <v>246.1968</v>
      </c>
      <c r="I795" s="425">
        <v>10.626720000000001</v>
      </c>
      <c r="J795" s="425">
        <v>33.119999999999997</v>
      </c>
      <c r="K795" s="425">
        <v>2644.83977</v>
      </c>
      <c r="L795" s="542" t="s">
        <v>622</v>
      </c>
      <c r="M795" s="423" t="s">
        <v>699</v>
      </c>
      <c r="N795" s="206"/>
      <c r="O795" s="546"/>
    </row>
    <row r="796" spans="1:15" ht="15">
      <c r="A796" s="424">
        <v>223563</v>
      </c>
      <c r="B796" t="str">
        <f t="shared" ref="B796:B859" si="28">IF($A$2=1,D796,IF($A$2=2,F796,IF($A$2=3,G796,IF($A$2=4,E796,"zadat jazyk"))))</f>
        <v>SEVROLL horná vod.lišta Simple/Blue 3m(10mm)oliva</v>
      </c>
      <c r="C796" s="209">
        <f t="shared" si="27"/>
        <v>15.613099999999999</v>
      </c>
      <c r="D796" s="542" t="s">
        <v>3571</v>
      </c>
      <c r="E796" s="542" t="s">
        <v>3572</v>
      </c>
      <c r="F796" s="542" t="s">
        <v>3574</v>
      </c>
      <c r="G796" s="542" t="s">
        <v>3573</v>
      </c>
      <c r="H796" s="426">
        <v>362.53980000000001</v>
      </c>
      <c r="I796" s="425">
        <v>15.613099999999999</v>
      </c>
      <c r="J796" s="425">
        <v>49.65</v>
      </c>
      <c r="K796" s="425">
        <v>3894.6878499999998</v>
      </c>
      <c r="L796" s="542" t="s">
        <v>1025</v>
      </c>
      <c r="M796" s="423" t="s">
        <v>699</v>
      </c>
      <c r="N796" s="206"/>
      <c r="O796" s="546"/>
    </row>
    <row r="797" spans="1:15" ht="15">
      <c r="A797" s="424">
        <v>222573</v>
      </c>
      <c r="B797" t="str">
        <f t="shared" si="28"/>
        <v>SEVROLL horná vod.lišta Simple/Blue 3m(10mm)str.</v>
      </c>
      <c r="C797" s="209">
        <f t="shared" si="27"/>
        <v>13.84198</v>
      </c>
      <c r="D797" s="542" t="s">
        <v>4464</v>
      </c>
      <c r="E797" s="542" t="s">
        <v>4465</v>
      </c>
      <c r="F797" s="542" t="s">
        <v>4467</v>
      </c>
      <c r="G797" s="542" t="s">
        <v>4466</v>
      </c>
      <c r="H797" s="426">
        <v>320.50619999999998</v>
      </c>
      <c r="I797" s="425">
        <v>13.84198</v>
      </c>
      <c r="J797" s="425">
        <v>43.17</v>
      </c>
      <c r="K797" s="425">
        <v>3443.1298400000001</v>
      </c>
      <c r="L797" s="542" t="s">
        <v>621</v>
      </c>
      <c r="M797" s="423" t="s">
        <v>699</v>
      </c>
      <c r="N797" s="206"/>
      <c r="O797" s="546"/>
    </row>
    <row r="798" spans="1:15" ht="15">
      <c r="A798" s="424">
        <v>224134</v>
      </c>
      <c r="B798" t="str">
        <f t="shared" si="28"/>
        <v>SEVROLL horná vodiaca lišta Simple/Blue 1,5m</v>
      </c>
      <c r="C798" s="209" t="e">
        <f t="shared" si="27"/>
        <v>#N/A</v>
      </c>
      <c r="D798" s="542" t="s">
        <v>4478</v>
      </c>
      <c r="E798" s="542" t="s">
        <v>2012</v>
      </c>
      <c r="F798" s="542" t="s">
        <v>4479</v>
      </c>
      <c r="G798" s="542" t="s">
        <v>2013</v>
      </c>
      <c r="H798" s="426">
        <v>181.95099999999999</v>
      </c>
      <c r="I798" s="425" t="e">
        <v>#N/A</v>
      </c>
      <c r="J798" s="425">
        <v>27.22</v>
      </c>
      <c r="K798" s="425">
        <v>1733.66023</v>
      </c>
      <c r="L798" s="542" t="s">
        <v>623</v>
      </c>
      <c r="M798" s="423" t="s">
        <v>699</v>
      </c>
      <c r="N798" s="206"/>
      <c r="O798" s="546"/>
    </row>
    <row r="799" spans="1:15" ht="15">
      <c r="A799" s="424">
        <v>224131</v>
      </c>
      <c r="B799" t="str">
        <f t="shared" si="28"/>
        <v>SEVROLL hor.vod.lišta Simple/Blue 1,5m(18mm)</v>
      </c>
      <c r="C799" s="209">
        <f t="shared" si="27"/>
        <v>6.1580500000000002</v>
      </c>
      <c r="D799" s="542" t="s">
        <v>4476</v>
      </c>
      <c r="E799" s="542" t="s">
        <v>2014</v>
      </c>
      <c r="F799" s="542" t="s">
        <v>4477</v>
      </c>
      <c r="G799" s="542" t="s">
        <v>2015</v>
      </c>
      <c r="H799" s="426">
        <v>165.41</v>
      </c>
      <c r="I799" s="425">
        <v>6.1580500000000002</v>
      </c>
      <c r="J799" s="425">
        <v>23.66</v>
      </c>
      <c r="K799" s="425">
        <v>1532.0718199999999</v>
      </c>
      <c r="L799" s="542" t="s">
        <v>621</v>
      </c>
      <c r="M799" s="423" t="s">
        <v>699</v>
      </c>
      <c r="N799" s="206"/>
      <c r="O799" s="546"/>
    </row>
    <row r="800" spans="1:15" ht="15">
      <c r="A800" s="424">
        <v>224136</v>
      </c>
      <c r="B800" t="str">
        <f t="shared" si="28"/>
        <v>SEVROLL horná vodiaca lišta Simple/Blue 2,5m</v>
      </c>
      <c r="C800" s="209">
        <f t="shared" si="27"/>
        <v>0</v>
      </c>
      <c r="D800" s="542" t="s">
        <v>3581</v>
      </c>
      <c r="E800" s="542" t="s">
        <v>2016</v>
      </c>
      <c r="F800" s="542" t="s">
        <v>3580</v>
      </c>
      <c r="G800" s="542" t="s">
        <v>2017</v>
      </c>
      <c r="H800" s="426">
        <v>228.93299999999999</v>
      </c>
      <c r="I800" s="425">
        <v>0</v>
      </c>
      <c r="J800" s="425">
        <v>27.547039999999999</v>
      </c>
      <c r="K800" s="425">
        <v>2459.3784599999999</v>
      </c>
      <c r="L800" s="542" t="s">
        <v>622</v>
      </c>
      <c r="M800" s="423" t="s">
        <v>699</v>
      </c>
      <c r="N800" s="206"/>
      <c r="O800" s="546"/>
    </row>
    <row r="801" spans="1:15" ht="15">
      <c r="A801" s="424">
        <v>224133</v>
      </c>
      <c r="B801" t="str">
        <f t="shared" si="28"/>
        <v>SEVROLL horná vodiaca lišta Simple/Blue 2,5m</v>
      </c>
      <c r="C801" s="209">
        <f t="shared" si="27"/>
        <v>10.000019999999999</v>
      </c>
      <c r="D801" s="542" t="s">
        <v>3579</v>
      </c>
      <c r="E801" s="542" t="s">
        <v>2018</v>
      </c>
      <c r="F801" s="542" t="s">
        <v>3580</v>
      </c>
      <c r="G801" s="542" t="s">
        <v>2019</v>
      </c>
      <c r="H801" s="426">
        <v>231.93539999999999</v>
      </c>
      <c r="I801" s="425">
        <v>10.000019999999999</v>
      </c>
      <c r="J801" s="425">
        <v>39.44</v>
      </c>
      <c r="K801" s="425">
        <v>2491.6325900000002</v>
      </c>
      <c r="L801" s="542" t="s">
        <v>622</v>
      </c>
      <c r="M801" s="423" t="s">
        <v>699</v>
      </c>
      <c r="N801" s="206"/>
      <c r="O801" s="546"/>
    </row>
    <row r="802" spans="1:15" ht="15">
      <c r="A802" s="424">
        <v>224135</v>
      </c>
      <c r="B802" t="str">
        <f t="shared" si="28"/>
        <v>SEVROLL horná vodiaca lišta Simple/Blue 2m (</v>
      </c>
      <c r="C802" s="209">
        <f t="shared" si="27"/>
        <v>9.1280800000000006</v>
      </c>
      <c r="D802" s="542" t="s">
        <v>4470</v>
      </c>
      <c r="E802" s="542" t="s">
        <v>2020</v>
      </c>
      <c r="F802" s="542" t="s">
        <v>4471</v>
      </c>
      <c r="G802" s="542" t="s">
        <v>2021</v>
      </c>
      <c r="H802" s="426">
        <v>238.38499999999999</v>
      </c>
      <c r="I802" s="425">
        <v>9.1280800000000006</v>
      </c>
      <c r="J802" s="425">
        <v>36.29</v>
      </c>
      <c r="K802" s="425">
        <v>2273.9171299999998</v>
      </c>
      <c r="L802" s="542" t="s">
        <v>621</v>
      </c>
      <c r="M802" s="423" t="s">
        <v>699</v>
      </c>
      <c r="N802" s="206"/>
      <c r="O802" s="546"/>
    </row>
    <row r="803" spans="1:15" ht="15">
      <c r="A803" s="424">
        <v>224132</v>
      </c>
      <c r="B803" t="str">
        <f t="shared" si="28"/>
        <v>SEVROLL hor.vod.lišta Simple/Blue 2m(18mm) s</v>
      </c>
      <c r="C803" s="209">
        <f t="shared" si="27"/>
        <v>8.0926600000000004</v>
      </c>
      <c r="D803" s="542" t="s">
        <v>4468</v>
      </c>
      <c r="E803" s="542" t="s">
        <v>2022</v>
      </c>
      <c r="F803" s="542" t="s">
        <v>4469</v>
      </c>
      <c r="G803" s="542" t="s">
        <v>2023</v>
      </c>
      <c r="H803" s="426">
        <v>216.97900000000001</v>
      </c>
      <c r="I803" s="425">
        <v>8.0926600000000004</v>
      </c>
      <c r="J803" s="425">
        <v>31.56</v>
      </c>
      <c r="K803" s="425">
        <v>2015.8839800000001</v>
      </c>
      <c r="L803" s="542" t="s">
        <v>621</v>
      </c>
      <c r="M803" s="423" t="s">
        <v>699</v>
      </c>
      <c r="N803" s="206"/>
      <c r="O803" s="546"/>
    </row>
    <row r="804" spans="1:15" ht="15">
      <c r="A804" s="424">
        <v>223561</v>
      </c>
      <c r="B804" t="str">
        <f t="shared" si="28"/>
        <v>SEVROLL horná vodiaca lišta Simple/Blue 3m(</v>
      </c>
      <c r="C804" s="209">
        <f t="shared" si="27"/>
        <v>13.460509999999999</v>
      </c>
      <c r="D804" s="542" t="s">
        <v>4462</v>
      </c>
      <c r="E804" s="542" t="s">
        <v>2024</v>
      </c>
      <c r="F804" s="542" t="s">
        <v>4463</v>
      </c>
      <c r="G804" s="542" t="s">
        <v>2025</v>
      </c>
      <c r="H804" s="426">
        <v>351.25299999999999</v>
      </c>
      <c r="I804" s="425">
        <v>13.460509999999999</v>
      </c>
      <c r="J804" s="425">
        <v>54.46</v>
      </c>
      <c r="K804" s="425">
        <v>3346.3674099999998</v>
      </c>
      <c r="L804" s="542" t="s">
        <v>621</v>
      </c>
      <c r="M804" s="423" t="s">
        <v>699</v>
      </c>
      <c r="N804" s="206"/>
      <c r="O804" s="546"/>
    </row>
    <row r="805" spans="1:15" ht="15">
      <c r="A805" s="424">
        <v>222571</v>
      </c>
      <c r="B805" t="str">
        <f t="shared" si="28"/>
        <v>SEVROLL hor.vod.lišta Simple 3m(18mm) str.</v>
      </c>
      <c r="C805" s="209">
        <f t="shared" si="27"/>
        <v>11.880129999999999</v>
      </c>
      <c r="D805" s="542" t="s">
        <v>4039</v>
      </c>
      <c r="E805" s="542" t="s">
        <v>2026</v>
      </c>
      <c r="F805" s="542" t="s">
        <v>4040</v>
      </c>
      <c r="G805" s="542" t="s">
        <v>2027</v>
      </c>
      <c r="H805" s="426">
        <v>319.14400000000001</v>
      </c>
      <c r="I805" s="425">
        <v>11.880129999999999</v>
      </c>
      <c r="J805" s="425">
        <v>47.34</v>
      </c>
      <c r="K805" s="425">
        <v>2959.3176899999999</v>
      </c>
      <c r="L805" s="542" t="s">
        <v>1025</v>
      </c>
      <c r="M805" s="423" t="s">
        <v>699</v>
      </c>
      <c r="N805" s="206"/>
      <c r="O805" s="546"/>
    </row>
    <row r="806" spans="1:15" ht="15">
      <c r="A806" s="424">
        <v>89265</v>
      </c>
      <c r="B806" t="str">
        <f t="shared" si="28"/>
        <v>SEVROLL horný vozík 10mm asymetr.(L+P)</v>
      </c>
      <c r="C806" s="209">
        <f t="shared" si="27"/>
        <v>5.7608600000000001</v>
      </c>
      <c r="D806" s="542" t="s">
        <v>4460</v>
      </c>
      <c r="E806" s="542" t="s">
        <v>2028</v>
      </c>
      <c r="F806" s="542" t="s">
        <v>4461</v>
      </c>
      <c r="G806" s="542" t="s">
        <v>2029</v>
      </c>
      <c r="H806" s="426">
        <v>154.43456</v>
      </c>
      <c r="I806" s="425">
        <v>5.7608600000000001</v>
      </c>
      <c r="J806" s="425">
        <v>27.99</v>
      </c>
      <c r="K806" s="425">
        <v>1749.78728</v>
      </c>
      <c r="L806" s="542" t="s">
        <v>621</v>
      </c>
      <c r="M806" s="423" t="s">
        <v>700</v>
      </c>
      <c r="N806" s="206"/>
      <c r="O806" s="546"/>
    </row>
    <row r="807" spans="1:15" ht="15">
      <c r="A807" s="424">
        <v>349943</v>
      </c>
      <c r="B807" t="str">
        <f t="shared" si="28"/>
        <v>SEVROLL horný vozík Blue 10mm symetrický (L+</v>
      </c>
      <c r="C807" s="209">
        <f t="shared" si="27"/>
        <v>3.8147199999999999</v>
      </c>
      <c r="D807" s="542" t="s">
        <v>4456</v>
      </c>
      <c r="E807" s="542" t="s">
        <v>2031</v>
      </c>
      <c r="F807" s="542" t="s">
        <v>4457</v>
      </c>
      <c r="G807" s="542" t="s">
        <v>84</v>
      </c>
      <c r="H807" s="426">
        <v>87.069599999999994</v>
      </c>
      <c r="I807" s="425">
        <v>3.8147199999999999</v>
      </c>
      <c r="J807" s="425">
        <v>14.21</v>
      </c>
      <c r="K807" s="425">
        <v>935.37018</v>
      </c>
      <c r="L807" s="542" t="s">
        <v>621</v>
      </c>
      <c r="M807" s="423" t="s">
        <v>703</v>
      </c>
      <c r="N807" s="206"/>
      <c r="O807" s="546"/>
    </row>
    <row r="808" spans="1:15" ht="15">
      <c r="A808" s="424">
        <v>228009</v>
      </c>
      <c r="B808" t="str">
        <f t="shared" si="28"/>
        <v>SEVROLL horný vozík Gemini symetr.10mm-2ks</v>
      </c>
      <c r="C808" s="209">
        <f t="shared" si="27"/>
        <v>5.3269799999999998</v>
      </c>
      <c r="D808" s="542" t="s">
        <v>4033</v>
      </c>
      <c r="E808" s="542" t="s">
        <v>1219</v>
      </c>
      <c r="F808" s="542" t="s">
        <v>4034</v>
      </c>
      <c r="G808" s="542" t="s">
        <v>2034</v>
      </c>
      <c r="H808" s="426">
        <v>143.04768000000001</v>
      </c>
      <c r="I808" s="425">
        <v>5.3269799999999998</v>
      </c>
      <c r="J808" s="425">
        <v>23.74</v>
      </c>
      <c r="K808" s="425">
        <v>1620.77072</v>
      </c>
      <c r="L808" s="542" t="s">
        <v>1025</v>
      </c>
      <c r="M808" s="423" t="s">
        <v>700</v>
      </c>
      <c r="N808" s="206"/>
      <c r="O808" s="546"/>
    </row>
    <row r="809" spans="1:15" ht="15">
      <c r="A809" s="424">
        <v>216354</v>
      </c>
      <c r="B809" t="str">
        <f t="shared" si="28"/>
        <v>SEVROLL horný vozík Simple (10mm Fala ) asym</v>
      </c>
      <c r="C809" s="209">
        <f t="shared" si="27"/>
        <v>2.2615799999999999</v>
      </c>
      <c r="D809" s="542" t="s">
        <v>3084</v>
      </c>
      <c r="E809" s="542" t="s">
        <v>2035</v>
      </c>
      <c r="F809" s="542" t="s">
        <v>3085</v>
      </c>
      <c r="G809" s="542" t="s">
        <v>2036</v>
      </c>
      <c r="H809" s="426">
        <v>51.791400000000003</v>
      </c>
      <c r="I809" s="425">
        <v>2.2615799999999999</v>
      </c>
      <c r="J809" s="425">
        <v>7.91</v>
      </c>
      <c r="K809" s="425">
        <v>556.38397999999995</v>
      </c>
      <c r="L809" s="542" t="s">
        <v>622</v>
      </c>
      <c r="M809" s="423" t="s">
        <v>703</v>
      </c>
      <c r="N809" s="206"/>
      <c r="O809" s="546"/>
    </row>
    <row r="810" spans="1:15" ht="15">
      <c r="A810" s="424">
        <v>216355</v>
      </c>
      <c r="B810" t="str">
        <f t="shared" si="28"/>
        <v>SEVROLL horný vozík Simple (10mm Polo) symet</v>
      </c>
      <c r="C810" s="209">
        <f t="shared" si="27"/>
        <v>2.2615799999999999</v>
      </c>
      <c r="D810" s="542" t="s">
        <v>3082</v>
      </c>
      <c r="E810" s="542" t="s">
        <v>2037</v>
      </c>
      <c r="F810" s="542" t="s">
        <v>3083</v>
      </c>
      <c r="G810" s="542" t="s">
        <v>2038</v>
      </c>
      <c r="H810" s="426">
        <v>51.791400000000003</v>
      </c>
      <c r="I810" s="425">
        <v>2.2615799999999999</v>
      </c>
      <c r="J810" s="425">
        <v>7.91</v>
      </c>
      <c r="K810" s="425">
        <v>556.38397999999995</v>
      </c>
      <c r="L810" s="542" t="s">
        <v>622</v>
      </c>
      <c r="M810" s="423" t="s">
        <v>703</v>
      </c>
      <c r="N810" s="206"/>
      <c r="O810" s="546"/>
    </row>
    <row r="811" spans="1:15" ht="15">
      <c r="A811" s="424">
        <v>216357</v>
      </c>
      <c r="B811" t="str">
        <f t="shared" si="28"/>
        <v>SEVROLL horný vozík Simple (18mm) bezrámový</v>
      </c>
      <c r="C811" s="209">
        <f t="shared" si="27"/>
        <v>2.3160799999999999</v>
      </c>
      <c r="D811" s="542" t="s">
        <v>4454</v>
      </c>
      <c r="E811" s="542" t="s">
        <v>2039</v>
      </c>
      <c r="F811" s="542" t="s">
        <v>4455</v>
      </c>
      <c r="G811" s="542" t="s">
        <v>2040</v>
      </c>
      <c r="H811" s="426">
        <v>57.0456</v>
      </c>
      <c r="I811" s="425">
        <v>2.3160799999999999</v>
      </c>
      <c r="J811" s="425">
        <v>7.06</v>
      </c>
      <c r="K811" s="425">
        <v>612.82871999999998</v>
      </c>
      <c r="L811" s="542" t="s">
        <v>621</v>
      </c>
      <c r="M811" s="423" t="s">
        <v>703</v>
      </c>
      <c r="N811" s="206"/>
      <c r="O811" s="546"/>
    </row>
    <row r="812" spans="1:15" ht="15">
      <c r="A812" s="424">
        <v>216356</v>
      </c>
      <c r="B812" t="str">
        <f t="shared" si="28"/>
        <v>SEVROLL horný vozík Simple (18mm)rámový L+P</v>
      </c>
      <c r="C812" s="209">
        <f t="shared" si="27"/>
        <v>2.2615799999999999</v>
      </c>
      <c r="D812" s="542" t="s">
        <v>3080</v>
      </c>
      <c r="E812" s="542" t="s">
        <v>2041</v>
      </c>
      <c r="F812" s="542" t="s">
        <v>3081</v>
      </c>
      <c r="G812" s="542" t="s">
        <v>2042</v>
      </c>
      <c r="H812" s="426">
        <v>51.791400000000003</v>
      </c>
      <c r="I812" s="425">
        <v>2.2615799999999999</v>
      </c>
      <c r="J812" s="425">
        <v>7.91</v>
      </c>
      <c r="K812" s="425">
        <v>556.38397999999995</v>
      </c>
      <c r="L812" s="542" t="s">
        <v>622</v>
      </c>
      <c r="M812" s="423" t="s">
        <v>703</v>
      </c>
      <c r="N812" s="206"/>
      <c r="O812" s="546"/>
    </row>
    <row r="813" spans="1:15" ht="15">
      <c r="A813" s="424">
        <v>250125</v>
      </c>
      <c r="B813" t="str">
        <f t="shared" si="28"/>
        <v>SEVROLL maska 2,35-prevedená na 89177</v>
      </c>
      <c r="C813" s="209" t="e">
        <f t="shared" si="27"/>
        <v>#N/A</v>
      </c>
      <c r="D813" s="542" t="s">
        <v>3534</v>
      </c>
      <c r="E813" s="542" t="s">
        <v>2077</v>
      </c>
      <c r="F813" s="542" t="s">
        <v>3535</v>
      </c>
      <c r="G813" s="542" t="s">
        <v>2078</v>
      </c>
      <c r="H813" s="426">
        <v>0</v>
      </c>
      <c r="I813" s="425" t="e">
        <v>#N/A</v>
      </c>
      <c r="J813" s="425">
        <v>0</v>
      </c>
      <c r="K813" s="425">
        <v>0</v>
      </c>
      <c r="L813" s="542" t="s">
        <v>622</v>
      </c>
      <c r="M813" s="423" t="s">
        <v>699</v>
      </c>
      <c r="N813" s="206"/>
      <c r="O813" s="546"/>
    </row>
    <row r="814" spans="1:15" ht="15">
      <c r="A814" s="424">
        <v>250126</v>
      </c>
      <c r="B814" t="str">
        <f t="shared" si="28"/>
        <v>SEVROLL maska 3m-prevedené na 89180</v>
      </c>
      <c r="C814" s="209" t="e">
        <f t="shared" si="27"/>
        <v>#N/A</v>
      </c>
      <c r="D814" s="542" t="s">
        <v>3532</v>
      </c>
      <c r="E814" s="542" t="s">
        <v>2079</v>
      </c>
      <c r="F814" s="542" t="s">
        <v>3533</v>
      </c>
      <c r="G814" s="542" t="s">
        <v>2080</v>
      </c>
      <c r="H814" s="426">
        <v>0</v>
      </c>
      <c r="I814" s="425" t="e">
        <v>#N/A</v>
      </c>
      <c r="J814" s="425">
        <v>0</v>
      </c>
      <c r="K814" s="425">
        <v>0</v>
      </c>
      <c r="L814" s="542" t="s">
        <v>622</v>
      </c>
      <c r="M814" s="423" t="s">
        <v>699</v>
      </c>
      <c r="N814" s="206"/>
      <c r="O814" s="546"/>
    </row>
    <row r="815" spans="1:15" ht="15">
      <c r="A815" s="424">
        <v>250132</v>
      </c>
      <c r="B815" t="str">
        <f t="shared" si="28"/>
        <v>SEVROLL maska 4,05m-prevedené na 89092</v>
      </c>
      <c r="C815" s="209" t="e">
        <f t="shared" si="27"/>
        <v>#N/A</v>
      </c>
      <c r="D815" s="542" t="s">
        <v>3530</v>
      </c>
      <c r="E815" s="542" t="s">
        <v>2081</v>
      </c>
      <c r="F815" s="542" t="s">
        <v>3531</v>
      </c>
      <c r="G815" s="542" t="s">
        <v>2082</v>
      </c>
      <c r="H815" s="426">
        <v>1E-3</v>
      </c>
      <c r="I815" s="425" t="e">
        <v>#N/A</v>
      </c>
      <c r="J815" s="425">
        <v>1E-3</v>
      </c>
      <c r="K815" s="425">
        <v>1E-3</v>
      </c>
      <c r="L815" s="542" t="s">
        <v>7984</v>
      </c>
      <c r="M815" s="423" t="s">
        <v>699</v>
      </c>
      <c r="N815" s="206"/>
      <c r="O815" s="546"/>
    </row>
    <row r="816" spans="1:15" ht="15">
      <c r="A816" s="424">
        <v>89173</v>
      </c>
      <c r="B816" t="str">
        <f t="shared" si="28"/>
        <v>SEVROLL-258-MASKA CLEFT 1,7M OLIVOVÁ</v>
      </c>
      <c r="C816" s="209" t="e">
        <f t="shared" si="27"/>
        <v>#N/A</v>
      </c>
      <c r="D816" s="542" t="s">
        <v>3077</v>
      </c>
      <c r="E816" s="542" t="s">
        <v>258</v>
      </c>
      <c r="F816" s="542" t="s">
        <v>52</v>
      </c>
      <c r="G816" s="542" t="s">
        <v>2083</v>
      </c>
      <c r="H816" s="426">
        <v>1E-3</v>
      </c>
      <c r="I816" s="425" t="e">
        <v>#N/A</v>
      </c>
      <c r="J816" s="425">
        <v>1E-3</v>
      </c>
      <c r="K816" s="425">
        <v>1E-3</v>
      </c>
      <c r="L816" s="542" t="s">
        <v>7984</v>
      </c>
      <c r="M816" s="423" t="s">
        <v>699</v>
      </c>
      <c r="N816" s="206"/>
      <c r="O816" s="546"/>
    </row>
    <row r="817" spans="1:15" ht="15">
      <c r="A817" s="424">
        <v>89174</v>
      </c>
      <c r="B817" t="str">
        <f t="shared" si="28"/>
        <v>SEVROLL-258-MASKA CLEFT 1,7M STRIEBOR.</v>
      </c>
      <c r="C817" s="209" t="e">
        <f t="shared" si="27"/>
        <v>#N/A</v>
      </c>
      <c r="D817" s="542" t="s">
        <v>3076</v>
      </c>
      <c r="E817" s="542" t="s">
        <v>259</v>
      </c>
      <c r="F817" s="542" t="s">
        <v>100</v>
      </c>
      <c r="G817" s="542" t="s">
        <v>2084</v>
      </c>
      <c r="H817" s="426">
        <v>1E-3</v>
      </c>
      <c r="I817" s="425" t="e">
        <v>#N/A</v>
      </c>
      <c r="J817" s="425">
        <v>1E-3</v>
      </c>
      <c r="K817" s="425">
        <v>1E-3</v>
      </c>
      <c r="L817" s="542" t="s">
        <v>7984</v>
      </c>
      <c r="M817" s="423" t="s">
        <v>699</v>
      </c>
      <c r="N817" s="206"/>
      <c r="O817" s="546"/>
    </row>
    <row r="818" spans="1:15" ht="15">
      <c r="A818" s="424">
        <v>89172</v>
      </c>
      <c r="B818" t="str">
        <f t="shared" si="28"/>
        <v>SEVROLL-258-MASKA CLEFT 1,7M ZLATÁ</v>
      </c>
      <c r="C818" s="209">
        <f t="shared" si="27"/>
        <v>2.3460899999999998</v>
      </c>
      <c r="D818" s="542" t="s">
        <v>3075</v>
      </c>
      <c r="E818" s="542" t="s">
        <v>2085</v>
      </c>
      <c r="F818" s="542" t="s">
        <v>51</v>
      </c>
      <c r="G818" s="542" t="s">
        <v>2086</v>
      </c>
      <c r="H818" s="426">
        <v>83.011499999999998</v>
      </c>
      <c r="I818" s="425">
        <v>2.3460899999999998</v>
      </c>
      <c r="J818" s="425">
        <v>5.9215799999999996</v>
      </c>
      <c r="K818" s="425">
        <v>895.02761999999996</v>
      </c>
      <c r="L818" s="542" t="s">
        <v>623</v>
      </c>
      <c r="M818" s="423" t="s">
        <v>699</v>
      </c>
      <c r="N818" s="206"/>
      <c r="O818" s="546"/>
    </row>
    <row r="819" spans="1:15" ht="15">
      <c r="A819" s="424">
        <v>89176</v>
      </c>
      <c r="B819" t="str">
        <f t="shared" si="28"/>
        <v>SEVROLL-259-MASKA CLEFT 2,35M OLIVOVÁ</v>
      </c>
      <c r="C819" s="209" t="e">
        <f t="shared" si="27"/>
        <v>#N/A</v>
      </c>
      <c r="D819" s="542" t="s">
        <v>3074</v>
      </c>
      <c r="E819" s="542" t="s">
        <v>260</v>
      </c>
      <c r="F819" s="542" t="s">
        <v>54</v>
      </c>
      <c r="G819" s="542" t="s">
        <v>2087</v>
      </c>
      <c r="H819" s="426">
        <v>1E-3</v>
      </c>
      <c r="I819" s="425" t="e">
        <v>#N/A</v>
      </c>
      <c r="J819" s="425">
        <v>1E-3</v>
      </c>
      <c r="K819" s="425">
        <v>1E-3</v>
      </c>
      <c r="L819" s="542" t="s">
        <v>7984</v>
      </c>
      <c r="M819" s="423" t="s">
        <v>699</v>
      </c>
      <c r="N819" s="206"/>
      <c r="O819" s="546"/>
    </row>
    <row r="820" spans="1:15" ht="15">
      <c r="A820" s="424">
        <v>89177</v>
      </c>
      <c r="B820" t="str">
        <f t="shared" si="28"/>
        <v>SEVROLL-259-MASKA CLEFT 2,35M STRIEBOR.</v>
      </c>
      <c r="C820" s="209">
        <f t="shared" si="27"/>
        <v>3.3801000000000001</v>
      </c>
      <c r="D820" s="542" t="s">
        <v>3073</v>
      </c>
      <c r="E820" s="542" t="s">
        <v>2088</v>
      </c>
      <c r="F820" s="542" t="s">
        <v>101</v>
      </c>
      <c r="G820" s="542" t="s">
        <v>2089</v>
      </c>
      <c r="H820" s="426">
        <v>119.59805</v>
      </c>
      <c r="I820" s="425">
        <v>3.3801000000000001</v>
      </c>
      <c r="J820" s="425">
        <v>6.9877000000000002</v>
      </c>
      <c r="K820" s="425">
        <v>1289.5027700000001</v>
      </c>
      <c r="L820" s="542" t="s">
        <v>623</v>
      </c>
      <c r="M820" s="423" t="s">
        <v>699</v>
      </c>
      <c r="N820" s="206"/>
      <c r="O820" s="546"/>
    </row>
    <row r="821" spans="1:15" ht="15">
      <c r="A821" s="424">
        <v>89175</v>
      </c>
      <c r="B821" t="str">
        <f t="shared" si="28"/>
        <v>SEVROLL-259-MASKA CLEFT 2,35M ZLATÁ</v>
      </c>
      <c r="C821" s="209">
        <f t="shared" si="27"/>
        <v>3.3801000000000001</v>
      </c>
      <c r="D821" s="542" t="s">
        <v>3072</v>
      </c>
      <c r="E821" s="542" t="s">
        <v>2090</v>
      </c>
      <c r="F821" s="542" t="s">
        <v>53</v>
      </c>
      <c r="G821" s="542" t="s">
        <v>2091</v>
      </c>
      <c r="H821" s="426">
        <v>119.59805</v>
      </c>
      <c r="I821" s="425">
        <v>3.3801000000000001</v>
      </c>
      <c r="J821" s="425">
        <v>8.1950400000000005</v>
      </c>
      <c r="K821" s="425">
        <v>1289.5027700000001</v>
      </c>
      <c r="L821" s="542" t="s">
        <v>623</v>
      </c>
      <c r="M821" s="423" t="s">
        <v>699</v>
      </c>
      <c r="N821" s="206"/>
      <c r="O821" s="546"/>
    </row>
    <row r="822" spans="1:15" ht="15">
      <c r="A822" s="424">
        <v>89179</v>
      </c>
      <c r="B822" t="str">
        <f t="shared" si="28"/>
        <v>SEVROLL-260-MASKA CLEFT 3M OLIVOVÁ</v>
      </c>
      <c r="C822" s="209" t="e">
        <f t="shared" si="27"/>
        <v>#N/A</v>
      </c>
      <c r="D822" s="542" t="s">
        <v>3071</v>
      </c>
      <c r="E822" s="542" t="s">
        <v>261</v>
      </c>
      <c r="F822" s="542" t="s">
        <v>56</v>
      </c>
      <c r="G822" s="542" t="s">
        <v>2092</v>
      </c>
      <c r="H822" s="426">
        <v>1E-3</v>
      </c>
      <c r="I822" s="425" t="e">
        <v>#N/A</v>
      </c>
      <c r="J822" s="425">
        <v>1E-3</v>
      </c>
      <c r="K822" s="425">
        <v>1E-3</v>
      </c>
      <c r="L822" s="542" t="s">
        <v>7984</v>
      </c>
      <c r="M822" s="423" t="s">
        <v>699</v>
      </c>
      <c r="N822" s="206"/>
      <c r="O822" s="546"/>
    </row>
    <row r="823" spans="1:15" ht="15">
      <c r="A823" s="424">
        <v>89180</v>
      </c>
      <c r="B823" t="str">
        <f t="shared" si="28"/>
        <v>SEVROLL-260-MASKA CLEFT 3M STRIEBOR.</v>
      </c>
      <c r="C823" s="209" t="e">
        <f t="shared" si="27"/>
        <v>#N/A</v>
      </c>
      <c r="D823" s="542" t="s">
        <v>3070</v>
      </c>
      <c r="E823" s="542" t="s">
        <v>2093</v>
      </c>
      <c r="F823" s="542" t="s">
        <v>102</v>
      </c>
      <c r="G823" s="542" t="s">
        <v>2094</v>
      </c>
      <c r="H823" s="426">
        <v>1E-3</v>
      </c>
      <c r="I823" s="425" t="e">
        <v>#N/A</v>
      </c>
      <c r="J823" s="425">
        <v>1E-3</v>
      </c>
      <c r="K823" s="425">
        <v>1E-3</v>
      </c>
      <c r="L823" s="542" t="s">
        <v>7984</v>
      </c>
      <c r="M823" s="423" t="s">
        <v>699</v>
      </c>
      <c r="N823" s="206"/>
      <c r="O823" s="546"/>
    </row>
    <row r="824" spans="1:15" ht="15">
      <c r="A824" s="424">
        <v>89178</v>
      </c>
      <c r="B824" t="str">
        <f t="shared" si="28"/>
        <v>SEVROLL-260-MASKA CLEFT 3M ZLATÁ</v>
      </c>
      <c r="C824" s="209">
        <f t="shared" si="27"/>
        <v>4.1404100000000001</v>
      </c>
      <c r="D824" s="542" t="s">
        <v>3069</v>
      </c>
      <c r="E824" s="542" t="s">
        <v>2095</v>
      </c>
      <c r="F824" s="542" t="s">
        <v>55</v>
      </c>
      <c r="G824" s="542" t="s">
        <v>2096</v>
      </c>
      <c r="H824" s="426">
        <v>146.49993000000001</v>
      </c>
      <c r="I824" s="425">
        <v>4.1404100000000001</v>
      </c>
      <c r="J824" s="425">
        <v>10.468500000000001</v>
      </c>
      <c r="K824" s="425">
        <v>1579.55801</v>
      </c>
      <c r="L824" s="542" t="s">
        <v>623</v>
      </c>
      <c r="M824" s="423" t="s">
        <v>699</v>
      </c>
      <c r="N824" s="206"/>
      <c r="O824" s="546"/>
    </row>
    <row r="825" spans="1:15" ht="15">
      <c r="A825" s="424">
        <v>89091</v>
      </c>
      <c r="B825" t="str">
        <f t="shared" si="28"/>
        <v>SEVROLL-270-MASKA CLEFT 4,05M OLIVOVÁ</v>
      </c>
      <c r="C825" s="209" t="e">
        <f t="shared" si="27"/>
        <v>#N/A</v>
      </c>
      <c r="D825" s="542" t="s">
        <v>3068</v>
      </c>
      <c r="E825" s="542" t="s">
        <v>271</v>
      </c>
      <c r="F825" s="542" t="s">
        <v>50</v>
      </c>
      <c r="G825" s="542" t="s">
        <v>2097</v>
      </c>
      <c r="H825" s="426">
        <v>1E-3</v>
      </c>
      <c r="I825" s="425" t="e">
        <v>#N/A</v>
      </c>
      <c r="J825" s="425">
        <v>1E-3</v>
      </c>
      <c r="K825" s="425">
        <v>1E-3</v>
      </c>
      <c r="L825" s="542" t="s">
        <v>7984</v>
      </c>
      <c r="M825" s="423" t="s">
        <v>699</v>
      </c>
      <c r="N825" s="206"/>
      <c r="O825" s="546"/>
    </row>
    <row r="826" spans="1:15" ht="15">
      <c r="A826" s="424">
        <v>89092</v>
      </c>
      <c r="B826" t="str">
        <f t="shared" si="28"/>
        <v>SEVROLL maska Cleft 4,05m strieborná</v>
      </c>
      <c r="C826" s="209" t="e">
        <f t="shared" si="27"/>
        <v>#N/A</v>
      </c>
      <c r="D826" s="542" t="s">
        <v>3066</v>
      </c>
      <c r="E826" s="542" t="s">
        <v>2098</v>
      </c>
      <c r="F826" s="542" t="s">
        <v>3067</v>
      </c>
      <c r="G826" s="542" t="s">
        <v>2099</v>
      </c>
      <c r="H826" s="426">
        <v>1E-3</v>
      </c>
      <c r="I826" s="425" t="e">
        <v>#N/A</v>
      </c>
      <c r="J826" s="425">
        <v>1E-3</v>
      </c>
      <c r="K826" s="425">
        <v>1E-3</v>
      </c>
      <c r="L826" s="542" t="s">
        <v>7984</v>
      </c>
      <c r="M826" s="423" t="s">
        <v>699</v>
      </c>
      <c r="N826" s="206"/>
      <c r="O826" s="546"/>
    </row>
    <row r="827" spans="1:15" ht="15">
      <c r="A827" s="424">
        <v>89090</v>
      </c>
      <c r="B827" t="str">
        <f t="shared" si="28"/>
        <v>SEVROLL-270-MASKA CLEFT 4,05 M ZLATÁ</v>
      </c>
      <c r="C827" s="209">
        <f t="shared" ref="C827:C890" si="29">IF($A$2=1,H827,IF($A$2=2,I827,IF($A$2=3,J827,IF($A$2=4,K827,"zadat jazyk"))))</f>
        <v>5.5437099999999999</v>
      </c>
      <c r="D827" s="542" t="s">
        <v>3065</v>
      </c>
      <c r="E827" s="542" t="s">
        <v>2100</v>
      </c>
      <c r="F827" s="542" t="s">
        <v>49</v>
      </c>
      <c r="G827" s="542" t="s">
        <v>2101</v>
      </c>
      <c r="H827" s="426">
        <v>196.15309999999999</v>
      </c>
      <c r="I827" s="425">
        <v>5.5437099999999999</v>
      </c>
      <c r="J827" s="425">
        <v>14.16949</v>
      </c>
      <c r="K827" s="425">
        <v>2114.9171299999998</v>
      </c>
      <c r="L827" s="542" t="s">
        <v>623</v>
      </c>
      <c r="M827" s="423" t="s">
        <v>699</v>
      </c>
      <c r="N827" s="206"/>
      <c r="O827" s="546"/>
    </row>
    <row r="828" spans="1:15" ht="15">
      <c r="A828" s="424">
        <v>135118</v>
      </c>
      <c r="B828" t="str">
        <f t="shared" si="28"/>
        <v>SEVROLL maska Cleft 6m strieborná</v>
      </c>
      <c r="C828" s="209">
        <f t="shared" si="29"/>
        <v>4.1427500000000004</v>
      </c>
      <c r="D828" s="542" t="s">
        <v>3063</v>
      </c>
      <c r="E828" s="542" t="s">
        <v>902</v>
      </c>
      <c r="F828" s="542" t="s">
        <v>3064</v>
      </c>
      <c r="G828" s="542" t="s">
        <v>2102</v>
      </c>
      <c r="H828" s="426">
        <v>146.58294000000001</v>
      </c>
      <c r="I828" s="425">
        <v>4.1427500000000004</v>
      </c>
      <c r="J828" s="425">
        <v>18.134830000000001</v>
      </c>
      <c r="K828" s="425">
        <v>1580.4530400000001</v>
      </c>
      <c r="L828" s="542" t="s">
        <v>623</v>
      </c>
      <c r="M828" s="423" t="s">
        <v>699</v>
      </c>
      <c r="N828" s="206"/>
      <c r="O828" s="546"/>
    </row>
    <row r="829" spans="1:15" ht="15">
      <c r="A829" s="424">
        <v>318655</v>
      </c>
      <c r="B829" t="str">
        <f t="shared" si="28"/>
        <v/>
      </c>
      <c r="C829" s="209">
        <f t="shared" si="29"/>
        <v>3.35046</v>
      </c>
      <c r="D829" s="542" t="s">
        <v>4435</v>
      </c>
      <c r="E829" s="542" t="s">
        <v>2106</v>
      </c>
      <c r="F829" s="542" t="s">
        <v>84</v>
      </c>
      <c r="G829" s="542" t="s">
        <v>4436</v>
      </c>
      <c r="H829" s="426">
        <v>96.880399999999995</v>
      </c>
      <c r="I829" s="425">
        <v>3.35046</v>
      </c>
      <c r="J829" s="425">
        <v>11.09</v>
      </c>
      <c r="K829" s="425">
        <v>1048.2596699999999</v>
      </c>
      <c r="L829" s="542" t="s">
        <v>621</v>
      </c>
      <c r="M829" s="423" t="s">
        <v>699</v>
      </c>
      <c r="N829" s="206"/>
      <c r="O829" s="546"/>
    </row>
    <row r="830" spans="1:15" ht="15">
      <c r="A830" s="424">
        <v>318657</v>
      </c>
      <c r="B830" t="str">
        <f t="shared" si="28"/>
        <v>SEV-maska Elegant II 1,7m strieborná</v>
      </c>
      <c r="C830" s="209">
        <f t="shared" si="29"/>
        <v>2.8683800000000002</v>
      </c>
      <c r="D830" s="542" t="s">
        <v>4031</v>
      </c>
      <c r="E830" s="542" t="s">
        <v>4032</v>
      </c>
      <c r="F830" s="542" t="s">
        <v>2675</v>
      </c>
      <c r="G830" s="542" t="s">
        <v>2109</v>
      </c>
      <c r="H830" s="426">
        <v>84.680300000000003</v>
      </c>
      <c r="I830" s="425">
        <v>2.8683800000000002</v>
      </c>
      <c r="J830" s="425">
        <v>9.61</v>
      </c>
      <c r="K830" s="425">
        <v>903.11603000000002</v>
      </c>
      <c r="L830" s="542" t="s">
        <v>1025</v>
      </c>
      <c r="M830" s="423" t="s">
        <v>699</v>
      </c>
      <c r="N830" s="206"/>
      <c r="O830" s="546"/>
    </row>
    <row r="831" spans="1:15" ht="15">
      <c r="A831" s="424">
        <v>318638</v>
      </c>
      <c r="B831" t="str">
        <f t="shared" si="28"/>
        <v>SEVROLL maska Elegant II 1,7m zlatá</v>
      </c>
      <c r="C831" s="209">
        <f t="shared" si="29"/>
        <v>3.35046</v>
      </c>
      <c r="D831" s="542" t="s">
        <v>3525</v>
      </c>
      <c r="E831" s="542" t="s">
        <v>2110</v>
      </c>
      <c r="F831" s="542" t="s">
        <v>3525</v>
      </c>
      <c r="G831" s="542" t="s">
        <v>2111</v>
      </c>
      <c r="H831" s="426">
        <v>92.5184</v>
      </c>
      <c r="I831" s="425">
        <v>3.35046</v>
      </c>
      <c r="J831" s="425">
        <v>11.09</v>
      </c>
      <c r="K831" s="425">
        <v>1048.2596699999999</v>
      </c>
      <c r="L831" s="542" t="s">
        <v>622</v>
      </c>
      <c r="M831" s="423" t="s">
        <v>699</v>
      </c>
      <c r="N831" s="206"/>
      <c r="O831" s="546"/>
    </row>
    <row r="832" spans="1:15" ht="15">
      <c r="A832" s="424">
        <v>318658</v>
      </c>
      <c r="B832" t="str">
        <f t="shared" si="28"/>
        <v/>
      </c>
      <c r="C832" s="209">
        <f t="shared" si="29"/>
        <v>4.6279700000000004</v>
      </c>
      <c r="D832" s="542" t="s">
        <v>4426</v>
      </c>
      <c r="E832" s="542" t="s">
        <v>2115</v>
      </c>
      <c r="F832" s="542" t="s">
        <v>84</v>
      </c>
      <c r="G832" s="542" t="s">
        <v>4427</v>
      </c>
      <c r="H832" s="426">
        <v>133.65093999999999</v>
      </c>
      <c r="I832" s="425">
        <v>4.6279700000000004</v>
      </c>
      <c r="J832" s="425">
        <v>15.32</v>
      </c>
      <c r="K832" s="425">
        <v>1451.4364599999999</v>
      </c>
      <c r="L832" s="542" t="s">
        <v>621</v>
      </c>
      <c r="M832" s="423" t="s">
        <v>699</v>
      </c>
      <c r="N832" s="206"/>
      <c r="O832" s="546"/>
    </row>
    <row r="833" spans="1:15" ht="15">
      <c r="A833" s="424">
        <v>318660</v>
      </c>
      <c r="B833" t="str">
        <f t="shared" si="28"/>
        <v>SEV-maska Elegant II 2,35m strieborná</v>
      </c>
      <c r="C833" s="209">
        <f t="shared" si="29"/>
        <v>4.0012600000000003</v>
      </c>
      <c r="D833" s="542" t="s">
        <v>4029</v>
      </c>
      <c r="E833" s="542" t="s">
        <v>4030</v>
      </c>
      <c r="F833" s="542" t="s">
        <v>2676</v>
      </c>
      <c r="G833" s="542" t="s">
        <v>2118</v>
      </c>
      <c r="H833" s="426">
        <v>116.55743</v>
      </c>
      <c r="I833" s="425">
        <v>4.0012600000000003</v>
      </c>
      <c r="J833" s="425">
        <v>13.3</v>
      </c>
      <c r="K833" s="425">
        <v>1249.84808</v>
      </c>
      <c r="L833" s="542" t="s">
        <v>1025</v>
      </c>
      <c r="M833" s="423" t="s">
        <v>699</v>
      </c>
      <c r="N833" s="206"/>
      <c r="O833" s="546"/>
    </row>
    <row r="834" spans="1:15" ht="15">
      <c r="A834" s="424">
        <v>318643</v>
      </c>
      <c r="B834" t="str">
        <f t="shared" si="28"/>
        <v>SEVROLL maska Elegant II 2,35m zlatá</v>
      </c>
      <c r="C834" s="209">
        <f t="shared" si="29"/>
        <v>4.6279700000000004</v>
      </c>
      <c r="D834" s="542" t="s">
        <v>3522</v>
      </c>
      <c r="E834" s="542" t="s">
        <v>2119</v>
      </c>
      <c r="F834" s="542" t="s">
        <v>3522</v>
      </c>
      <c r="G834" s="542" t="s">
        <v>2120</v>
      </c>
      <c r="H834" s="426">
        <v>128.10239999999999</v>
      </c>
      <c r="I834" s="425">
        <v>4.6279700000000004</v>
      </c>
      <c r="J834" s="425">
        <v>15.32</v>
      </c>
      <c r="K834" s="425">
        <v>1451.4364599999999</v>
      </c>
      <c r="L834" s="542" t="s">
        <v>622</v>
      </c>
      <c r="M834" s="423" t="s">
        <v>699</v>
      </c>
      <c r="N834" s="206"/>
      <c r="O834" s="546"/>
    </row>
    <row r="835" spans="1:15" ht="15">
      <c r="A835" s="424">
        <v>345409</v>
      </c>
      <c r="B835" t="str">
        <f t="shared" si="28"/>
        <v/>
      </c>
      <c r="C835" s="209">
        <f t="shared" si="29"/>
        <v>5.9054799999999998</v>
      </c>
      <c r="D835" s="542" t="s">
        <v>4417</v>
      </c>
      <c r="E835" s="542" t="s">
        <v>2123</v>
      </c>
      <c r="F835" s="542" t="s">
        <v>84</v>
      </c>
      <c r="G835" s="542" t="s">
        <v>2679</v>
      </c>
      <c r="H835" s="426">
        <v>170.47675000000001</v>
      </c>
      <c r="I835" s="425">
        <v>5.9054799999999998</v>
      </c>
      <c r="J835" s="425">
        <v>19.53</v>
      </c>
      <c r="K835" s="425">
        <v>1854.6132600000001</v>
      </c>
      <c r="L835" s="542" t="s">
        <v>621</v>
      </c>
      <c r="M835" s="423" t="s">
        <v>699</v>
      </c>
      <c r="N835" s="206"/>
      <c r="O835" s="546"/>
    </row>
    <row r="836" spans="1:15" ht="15">
      <c r="A836" s="424">
        <v>345408</v>
      </c>
      <c r="B836" t="str">
        <f t="shared" si="28"/>
        <v>SEV-maska Elegant II 3m strieborná</v>
      </c>
      <c r="C836" s="209">
        <f t="shared" si="29"/>
        <v>5.1100500000000002</v>
      </c>
      <c r="D836" s="542" t="s">
        <v>4026</v>
      </c>
      <c r="E836" s="542" t="s">
        <v>4027</v>
      </c>
      <c r="F836" s="542" t="s">
        <v>2677</v>
      </c>
      <c r="G836" s="542" t="s">
        <v>4028</v>
      </c>
      <c r="H836" s="426">
        <v>148.34404000000001</v>
      </c>
      <c r="I836" s="425">
        <v>5.1100500000000002</v>
      </c>
      <c r="J836" s="425">
        <v>16.97</v>
      </c>
      <c r="K836" s="425">
        <v>1604.64364</v>
      </c>
      <c r="L836" s="542" t="s">
        <v>1025</v>
      </c>
      <c r="M836" s="423" t="s">
        <v>699</v>
      </c>
      <c r="N836" s="206"/>
      <c r="O836" s="546"/>
    </row>
    <row r="837" spans="1:15" ht="15">
      <c r="A837" s="424">
        <v>318644</v>
      </c>
      <c r="B837" t="str">
        <f t="shared" si="28"/>
        <v>SEVROLL maska Elegant II 3m zlatá</v>
      </c>
      <c r="C837" s="209">
        <f t="shared" si="29"/>
        <v>6.0019</v>
      </c>
      <c r="D837" s="542" t="s">
        <v>3519</v>
      </c>
      <c r="E837" s="542" t="s">
        <v>2126</v>
      </c>
      <c r="F837" s="542" t="s">
        <v>3519</v>
      </c>
      <c r="G837" s="542" t="s">
        <v>2127</v>
      </c>
      <c r="H837" s="426">
        <v>166.53312</v>
      </c>
      <c r="I837" s="425">
        <v>6.0019</v>
      </c>
      <c r="J837" s="425">
        <v>19.68</v>
      </c>
      <c r="K837" s="425">
        <v>1886.8674100000001</v>
      </c>
      <c r="L837" s="542" t="s">
        <v>622</v>
      </c>
      <c r="M837" s="423" t="s">
        <v>699</v>
      </c>
      <c r="N837" s="206"/>
      <c r="O837" s="546"/>
    </row>
    <row r="838" spans="1:15" ht="15">
      <c r="A838" s="424">
        <v>345777</v>
      </c>
      <c r="B838" t="str">
        <f t="shared" si="28"/>
        <v/>
      </c>
      <c r="C838" s="209">
        <f t="shared" si="29"/>
        <v>7.9543200000000001</v>
      </c>
      <c r="D838" s="542" t="s">
        <v>4408</v>
      </c>
      <c r="E838" s="542" t="s">
        <v>2130</v>
      </c>
      <c r="F838" s="542" t="s">
        <v>84</v>
      </c>
      <c r="G838" s="542" t="s">
        <v>2680</v>
      </c>
      <c r="H838" s="426">
        <v>231.31389999999999</v>
      </c>
      <c r="I838" s="425">
        <v>7.9543200000000001</v>
      </c>
      <c r="J838" s="425">
        <v>26.38</v>
      </c>
      <c r="K838" s="425">
        <v>2491.6325900000002</v>
      </c>
      <c r="L838" s="542" t="s">
        <v>621</v>
      </c>
      <c r="M838" s="423" t="s">
        <v>699</v>
      </c>
      <c r="N838" s="206"/>
      <c r="O838" s="546"/>
    </row>
    <row r="839" spans="1:15" ht="15">
      <c r="A839" s="424">
        <v>345776</v>
      </c>
      <c r="B839" t="str">
        <f t="shared" si="28"/>
        <v>SEV-maska Elegant II 4,05m strieborná</v>
      </c>
      <c r="C839" s="209">
        <f t="shared" si="29"/>
        <v>6.9419500000000003</v>
      </c>
      <c r="D839" s="542" t="s">
        <v>4023</v>
      </c>
      <c r="E839" s="542" t="s">
        <v>4024</v>
      </c>
      <c r="F839" s="542" t="s">
        <v>2678</v>
      </c>
      <c r="G839" s="542" t="s">
        <v>4025</v>
      </c>
      <c r="H839" s="426">
        <v>202.02966000000001</v>
      </c>
      <c r="I839" s="425">
        <v>6.9419500000000003</v>
      </c>
      <c r="J839" s="425">
        <v>22.93</v>
      </c>
      <c r="K839" s="425">
        <v>2177.1546899999998</v>
      </c>
      <c r="L839" s="542" t="s">
        <v>1025</v>
      </c>
      <c r="M839" s="423" t="s">
        <v>699</v>
      </c>
      <c r="N839" s="206"/>
      <c r="O839" s="546"/>
    </row>
    <row r="840" spans="1:15" ht="15">
      <c r="A840" s="424">
        <v>318645</v>
      </c>
      <c r="B840" t="str">
        <f t="shared" si="28"/>
        <v>SEVROLL maska Elegant II 4,05m zlatá</v>
      </c>
      <c r="C840" s="209">
        <f t="shared" si="29"/>
        <v>7.9543200000000001</v>
      </c>
      <c r="D840" s="542" t="s">
        <v>3516</v>
      </c>
      <c r="E840" s="542" t="s">
        <v>2132</v>
      </c>
      <c r="F840" s="542" t="s">
        <v>3516</v>
      </c>
      <c r="G840" s="542" t="s">
        <v>2133</v>
      </c>
      <c r="H840" s="426">
        <v>219.90912</v>
      </c>
      <c r="I840" s="425">
        <v>7.9543200000000001</v>
      </c>
      <c r="J840" s="425">
        <v>26.38</v>
      </c>
      <c r="K840" s="425">
        <v>2491.6325900000002</v>
      </c>
      <c r="L840" s="542" t="s">
        <v>622</v>
      </c>
      <c r="M840" s="423" t="s">
        <v>699</v>
      </c>
      <c r="N840" s="206"/>
      <c r="O840" s="546"/>
    </row>
    <row r="841" spans="1:15" ht="15">
      <c r="A841" s="424">
        <v>346119</v>
      </c>
      <c r="B841" t="str">
        <f t="shared" si="28"/>
        <v/>
      </c>
      <c r="C841" s="209">
        <f t="shared" si="29"/>
        <v>11.786860000000001</v>
      </c>
      <c r="D841" s="542" t="s">
        <v>4405</v>
      </c>
      <c r="E841" s="542" t="s">
        <v>2136</v>
      </c>
      <c r="F841" s="542" t="s">
        <v>84</v>
      </c>
      <c r="G841" s="542" t="s">
        <v>2681</v>
      </c>
      <c r="H841" s="426">
        <v>340.05808000000002</v>
      </c>
      <c r="I841" s="425">
        <v>11.786860000000001</v>
      </c>
      <c r="J841" s="425">
        <v>39.06</v>
      </c>
      <c r="K841" s="425">
        <v>3693.0994599999999</v>
      </c>
      <c r="L841" s="542" t="s">
        <v>621</v>
      </c>
      <c r="M841" s="423" t="s">
        <v>699</v>
      </c>
      <c r="N841" s="206"/>
      <c r="O841" s="546"/>
    </row>
    <row r="842" spans="1:15" ht="15">
      <c r="A842" s="424">
        <v>346118</v>
      </c>
      <c r="B842" t="str">
        <f t="shared" si="28"/>
        <v/>
      </c>
      <c r="C842" s="209">
        <f t="shared" si="29"/>
        <v>10.244199999999999</v>
      </c>
      <c r="D842" s="542" t="s">
        <v>4403</v>
      </c>
      <c r="E842" s="542" t="s">
        <v>2139</v>
      </c>
      <c r="F842" s="542" t="s">
        <v>84</v>
      </c>
      <c r="G842" s="542" t="s">
        <v>4404</v>
      </c>
      <c r="H842" s="426">
        <v>297.52496000000002</v>
      </c>
      <c r="I842" s="425">
        <v>10.244199999999999</v>
      </c>
      <c r="J842" s="425">
        <v>33.99</v>
      </c>
      <c r="K842" s="425">
        <v>3209.28728</v>
      </c>
      <c r="L842" s="542" t="s">
        <v>621</v>
      </c>
      <c r="M842" s="423" t="s">
        <v>699</v>
      </c>
      <c r="N842" s="206"/>
      <c r="O842" s="546"/>
    </row>
    <row r="843" spans="1:15" ht="15">
      <c r="A843" s="424">
        <v>318646</v>
      </c>
      <c r="B843" t="str">
        <f t="shared" si="28"/>
        <v/>
      </c>
      <c r="C843" s="209">
        <f t="shared" si="29"/>
        <v>11.786860000000001</v>
      </c>
      <c r="D843" s="542" t="s">
        <v>3507</v>
      </c>
      <c r="E843" s="542" t="s">
        <v>2140</v>
      </c>
      <c r="F843" s="542" t="s">
        <v>84</v>
      </c>
      <c r="G843" s="542" t="s">
        <v>2141</v>
      </c>
      <c r="H843" s="426">
        <v>325.94943999999998</v>
      </c>
      <c r="I843" s="425">
        <v>11.786860000000001</v>
      </c>
      <c r="J843" s="425">
        <v>39.06</v>
      </c>
      <c r="K843" s="425">
        <v>3693.0994599999999</v>
      </c>
      <c r="L843" s="542" t="s">
        <v>622</v>
      </c>
      <c r="M843" s="423" t="s">
        <v>699</v>
      </c>
      <c r="N843" s="206"/>
      <c r="O843" s="546"/>
    </row>
    <row r="844" spans="1:15" ht="15">
      <c r="A844" s="424">
        <v>250134</v>
      </c>
      <c r="B844" t="str">
        <f t="shared" si="28"/>
        <v>SEVROLL maska Prestige 6m strieborná</v>
      </c>
      <c r="C844" s="209" t="e">
        <f t="shared" si="29"/>
        <v>#N/A</v>
      </c>
      <c r="D844" s="542" t="s">
        <v>3505</v>
      </c>
      <c r="E844" s="542" t="s">
        <v>1424</v>
      </c>
      <c r="F844" s="542" t="s">
        <v>3506</v>
      </c>
      <c r="G844" s="542" t="s">
        <v>2142</v>
      </c>
      <c r="H844" s="426">
        <v>0</v>
      </c>
      <c r="I844" s="425" t="e">
        <v>#N/A</v>
      </c>
      <c r="J844" s="425">
        <v>0</v>
      </c>
      <c r="K844" s="425">
        <v>0</v>
      </c>
      <c r="L844" s="542" t="s">
        <v>622</v>
      </c>
      <c r="M844" s="423" t="s">
        <v>699</v>
      </c>
      <c r="N844" s="206"/>
      <c r="O844" s="546"/>
    </row>
    <row r="845" spans="1:15" ht="15">
      <c r="A845" s="424">
        <v>98064</v>
      </c>
      <c r="B845" t="str">
        <f t="shared" si="28"/>
        <v>SEVROLL Micra sada kov. pre 1 krídlo</v>
      </c>
      <c r="C845" s="209">
        <f t="shared" si="29"/>
        <v>6.5321800000000003</v>
      </c>
      <c r="D845" s="542" t="s">
        <v>4343</v>
      </c>
      <c r="E845" s="542" t="s">
        <v>1293</v>
      </c>
      <c r="F845" s="542" t="s">
        <v>4344</v>
      </c>
      <c r="G845" s="542" t="s">
        <v>2254</v>
      </c>
      <c r="H845" s="426">
        <v>175.07328000000001</v>
      </c>
      <c r="I845" s="425">
        <v>6.5321800000000003</v>
      </c>
      <c r="J845" s="425">
        <v>25.85</v>
      </c>
      <c r="K845" s="425">
        <v>1983.6298400000001</v>
      </c>
      <c r="L845" s="542" t="s">
        <v>621</v>
      </c>
      <c r="M845" s="423" t="s">
        <v>700</v>
      </c>
      <c r="N845" s="206"/>
      <c r="O845" s="546"/>
    </row>
    <row r="846" spans="1:15" ht="15">
      <c r="A846" s="424">
        <v>278059</v>
      </c>
      <c r="B846" t="str">
        <f t="shared" si="28"/>
        <v>SEVROLL Pax spodná krycia lišta 3m stireb</v>
      </c>
      <c r="C846" s="209">
        <f t="shared" si="29"/>
        <v>29.720230000000001</v>
      </c>
      <c r="D846" s="542" t="s">
        <v>4318</v>
      </c>
      <c r="E846" s="542" t="s">
        <v>1445</v>
      </c>
      <c r="F846" s="542" t="s">
        <v>4319</v>
      </c>
      <c r="G846" s="542" t="s">
        <v>2294</v>
      </c>
      <c r="H846" s="426">
        <v>935.74800000000005</v>
      </c>
      <c r="I846" s="425">
        <v>29.720230000000001</v>
      </c>
      <c r="J846" s="425">
        <v>106.89</v>
      </c>
      <c r="K846" s="425">
        <v>10248.754150000001</v>
      </c>
      <c r="L846" s="542" t="s">
        <v>621</v>
      </c>
      <c r="M846" s="423" t="s">
        <v>699</v>
      </c>
      <c r="N846" s="206"/>
      <c r="O846" s="546"/>
    </row>
    <row r="847" spans="1:15" ht="15">
      <c r="A847" s="424">
        <v>223551</v>
      </c>
      <c r="B847" t="str">
        <f t="shared" si="28"/>
        <v>SEVROLL Polo úchytová lišta 10mm 2,7m oliva</v>
      </c>
      <c r="C847" s="209">
        <f t="shared" si="29"/>
        <v>16.2943</v>
      </c>
      <c r="D847" s="542" t="s">
        <v>3394</v>
      </c>
      <c r="E847" s="542" t="s">
        <v>1028</v>
      </c>
      <c r="F847" s="542" t="s">
        <v>3395</v>
      </c>
      <c r="G847" s="542" t="s">
        <v>2310</v>
      </c>
      <c r="H847" s="426">
        <v>361.78919999999999</v>
      </c>
      <c r="I847" s="425">
        <v>16.2943</v>
      </c>
      <c r="J847" s="425">
        <v>49.52</v>
      </c>
      <c r="K847" s="425">
        <v>3886.6243100000002</v>
      </c>
      <c r="L847" s="542" t="s">
        <v>1025</v>
      </c>
      <c r="M847" s="423" t="s">
        <v>699</v>
      </c>
      <c r="N847" s="206"/>
      <c r="O847" s="546"/>
    </row>
    <row r="848" spans="1:15" ht="15">
      <c r="A848" s="424">
        <v>303394</v>
      </c>
      <c r="B848" t="str">
        <f t="shared" si="28"/>
        <v>SEVROLL pozicionér Simple Start</v>
      </c>
      <c r="C848" s="209">
        <f t="shared" si="29"/>
        <v>0.24523</v>
      </c>
      <c r="D848" s="542" t="s">
        <v>3390</v>
      </c>
      <c r="E848" s="542" t="s">
        <v>2318</v>
      </c>
      <c r="F848" s="542" t="s">
        <v>3390</v>
      </c>
      <c r="G848" s="542" t="s">
        <v>2319</v>
      </c>
      <c r="H848" s="426">
        <v>5.2542</v>
      </c>
      <c r="I848" s="425">
        <v>0.24523</v>
      </c>
      <c r="J848" s="425">
        <v>1.59</v>
      </c>
      <c r="K848" s="425">
        <v>56.444749999999999</v>
      </c>
      <c r="L848" s="542" t="s">
        <v>622</v>
      </c>
      <c r="M848" s="423" t="s">
        <v>699</v>
      </c>
      <c r="N848" s="206"/>
      <c r="O848" s="546"/>
    </row>
    <row r="849" spans="1:15" ht="15">
      <c r="A849" s="424">
        <v>95946</v>
      </c>
      <c r="B849" t="str">
        <f t="shared" si="28"/>
        <v>SEVROLL protiprach.kartáč zásuvný 4,8x13mm</v>
      </c>
      <c r="C849" s="209">
        <f t="shared" si="29"/>
        <v>0.16506999999999999</v>
      </c>
      <c r="D849" s="542" t="s">
        <v>4301</v>
      </c>
      <c r="E849" s="542" t="s">
        <v>2353</v>
      </c>
      <c r="F849" s="542" t="s">
        <v>4302</v>
      </c>
      <c r="G849" s="542" t="s">
        <v>2354</v>
      </c>
      <c r="H849" s="426">
        <v>4.6359000000000004</v>
      </c>
      <c r="I849" s="425">
        <v>0.16506999999999999</v>
      </c>
      <c r="J849" s="425">
        <v>0.6</v>
      </c>
      <c r="K849" s="425">
        <v>39.593130000000002</v>
      </c>
      <c r="L849" s="542" t="s">
        <v>621</v>
      </c>
      <c r="M849" s="423" t="s">
        <v>698</v>
      </c>
      <c r="N849" s="206"/>
      <c r="O849" s="546"/>
    </row>
    <row r="850" spans="1:15" ht="15">
      <c r="A850" s="424">
        <v>341560</v>
      </c>
      <c r="B850" t="str">
        <f t="shared" si="28"/>
        <v>SEVROLL Rekord úchytková lišta 18mm 2,70m oliva</v>
      </c>
      <c r="C850" s="209">
        <f t="shared" si="29"/>
        <v>16.866510000000002</v>
      </c>
      <c r="D850" s="542" t="s">
        <v>4299</v>
      </c>
      <c r="E850" s="542" t="s">
        <v>2355</v>
      </c>
      <c r="F850" s="542" t="s">
        <v>4300</v>
      </c>
      <c r="G850" s="542" t="s">
        <v>84</v>
      </c>
      <c r="H850" s="426">
        <v>391.06259999999997</v>
      </c>
      <c r="I850" s="425">
        <v>16.866510000000002</v>
      </c>
      <c r="J850" s="425">
        <v>55.7</v>
      </c>
      <c r="K850" s="425">
        <v>4201.10221</v>
      </c>
      <c r="L850" s="542" t="s">
        <v>621</v>
      </c>
      <c r="M850" s="423" t="s">
        <v>699</v>
      </c>
      <c r="N850" s="206"/>
      <c r="O850" s="546"/>
    </row>
    <row r="851" spans="1:15" ht="15">
      <c r="A851" s="424">
        <v>84191</v>
      </c>
      <c r="B851" t="str">
        <f t="shared" si="28"/>
        <v>SEVROLL-SMART spodné vedenia 1,7 M OLIVA</v>
      </c>
      <c r="C851" s="209">
        <f t="shared" si="29"/>
        <v>4.3869300000000004</v>
      </c>
      <c r="D851" s="542" t="s">
        <v>3313</v>
      </c>
      <c r="E851" s="542" t="s">
        <v>889</v>
      </c>
      <c r="F851" s="542" t="s">
        <v>626</v>
      </c>
      <c r="G851" s="542" t="s">
        <v>2424</v>
      </c>
      <c r="H851" s="426">
        <v>117.4272</v>
      </c>
      <c r="I851" s="425">
        <v>4.3869300000000004</v>
      </c>
      <c r="J851" s="425">
        <v>16.77</v>
      </c>
      <c r="K851" s="425">
        <v>1330.48343</v>
      </c>
      <c r="L851" s="542" t="s">
        <v>622</v>
      </c>
      <c r="M851" s="423" t="s">
        <v>699</v>
      </c>
      <c r="N851" s="206"/>
      <c r="O851" s="546"/>
    </row>
    <row r="852" spans="1:15" ht="15">
      <c r="A852" s="424">
        <v>84194</v>
      </c>
      <c r="B852" t="str">
        <f t="shared" si="28"/>
        <v>SEVROLL-SMART spodné vedenia 2,35M OLIVA</v>
      </c>
      <c r="C852" s="209">
        <f t="shared" si="29"/>
        <v>6.0500999999999996</v>
      </c>
      <c r="D852" s="542" t="s">
        <v>3312</v>
      </c>
      <c r="E852" s="542" t="s">
        <v>891</v>
      </c>
      <c r="F852" s="542" t="s">
        <v>627</v>
      </c>
      <c r="G852" s="542" t="s">
        <v>2426</v>
      </c>
      <c r="H852" s="426">
        <v>162.26303999999999</v>
      </c>
      <c r="I852" s="425">
        <v>6.0500999999999996</v>
      </c>
      <c r="J852" s="425">
        <v>23.18</v>
      </c>
      <c r="K852" s="425">
        <v>1838.4861800000001</v>
      </c>
      <c r="L852" s="542" t="s">
        <v>622</v>
      </c>
      <c r="M852" s="423" t="s">
        <v>699</v>
      </c>
      <c r="N852" s="206"/>
      <c r="O852" s="546"/>
    </row>
    <row r="853" spans="1:15" ht="15">
      <c r="A853" s="424">
        <v>84197</v>
      </c>
      <c r="B853" t="str">
        <f t="shared" si="28"/>
        <v>SEVROLL-SMART SPODNÉ VEDENIE 3M OLIVA</v>
      </c>
      <c r="C853" s="209">
        <f t="shared" si="29"/>
        <v>7.6891800000000003</v>
      </c>
      <c r="D853" s="542" t="s">
        <v>3311</v>
      </c>
      <c r="E853" s="542" t="s">
        <v>1095</v>
      </c>
      <c r="F853" s="542" t="s">
        <v>90</v>
      </c>
      <c r="G853" s="542" t="s">
        <v>2428</v>
      </c>
      <c r="H853" s="426">
        <v>206.38720000000001</v>
      </c>
      <c r="I853" s="425">
        <v>7.6891800000000003</v>
      </c>
      <c r="J853" s="425">
        <v>29.58</v>
      </c>
      <c r="K853" s="425">
        <v>2338.4254099999998</v>
      </c>
      <c r="L853" s="542" t="s">
        <v>622</v>
      </c>
      <c r="M853" s="423" t="s">
        <v>699</v>
      </c>
      <c r="N853" s="206"/>
      <c r="O853" s="546"/>
    </row>
    <row r="854" spans="1:15" ht="15">
      <c r="A854" s="424">
        <v>84198</v>
      </c>
      <c r="B854" t="str">
        <f t="shared" si="28"/>
        <v>SEVROLL-SMART SPODNÉ VEDENIE 3M STRIE.</v>
      </c>
      <c r="C854" s="209">
        <f t="shared" si="29"/>
        <v>6.9660599999999997</v>
      </c>
      <c r="D854" s="542" t="s">
        <v>4279</v>
      </c>
      <c r="E854" s="542" t="s">
        <v>893</v>
      </c>
      <c r="F854" s="542" t="s">
        <v>109</v>
      </c>
      <c r="G854" s="542" t="s">
        <v>2429</v>
      </c>
      <c r="H854" s="426">
        <v>187.17184</v>
      </c>
      <c r="I854" s="425">
        <v>6.9660599999999997</v>
      </c>
      <c r="J854" s="425">
        <v>25.72</v>
      </c>
      <c r="K854" s="425">
        <v>2120.7099499999999</v>
      </c>
      <c r="L854" s="542" t="s">
        <v>621</v>
      </c>
      <c r="M854" s="423" t="s">
        <v>699</v>
      </c>
      <c r="N854" s="206"/>
      <c r="O854" s="546"/>
    </row>
    <row r="855" spans="1:15" ht="15">
      <c r="A855" s="424">
        <v>276736</v>
      </c>
      <c r="B855" t="str">
        <f t="shared" si="28"/>
        <v>SEVROLL spodná krycia lišta 1,7m biela les</v>
      </c>
      <c r="C855" s="209">
        <f t="shared" si="29"/>
        <v>20.030419999999999</v>
      </c>
      <c r="D855" s="542" t="s">
        <v>4277</v>
      </c>
      <c r="E855" s="542" t="s">
        <v>1529</v>
      </c>
      <c r="F855" s="542" t="s">
        <v>4278</v>
      </c>
      <c r="G855" s="542" t="s">
        <v>2430</v>
      </c>
      <c r="H855" s="426">
        <v>577.17247999999995</v>
      </c>
      <c r="I855" s="425">
        <v>20.030419999999999</v>
      </c>
      <c r="J855" s="425">
        <v>72.13</v>
      </c>
      <c r="K855" s="425">
        <v>6539.5276199999998</v>
      </c>
      <c r="L855" s="542" t="s">
        <v>621</v>
      </c>
      <c r="M855" s="423" t="s">
        <v>699</v>
      </c>
      <c r="N855" s="206"/>
      <c r="O855" s="546"/>
    </row>
    <row r="856" spans="1:15" ht="15">
      <c r="A856" s="424">
        <v>205171</v>
      </c>
      <c r="B856" t="str">
        <f t="shared" si="28"/>
        <v>SEVROLL spod.krycia lišta 1,7m čierna kartáč</v>
      </c>
      <c r="C856" s="209">
        <f t="shared" si="29"/>
        <v>20.633019999999998</v>
      </c>
      <c r="D856" s="542" t="s">
        <v>3309</v>
      </c>
      <c r="E856" s="542" t="s">
        <v>1077</v>
      </c>
      <c r="F856" s="542" t="s">
        <v>3310</v>
      </c>
      <c r="G856" s="542" t="s">
        <v>2431</v>
      </c>
      <c r="H856" s="426">
        <v>594.25279999999998</v>
      </c>
      <c r="I856" s="425">
        <v>20.633019999999998</v>
      </c>
      <c r="J856" s="425">
        <v>77.3</v>
      </c>
      <c r="K856" s="425">
        <v>6733.05249</v>
      </c>
      <c r="L856" s="542" t="s">
        <v>621</v>
      </c>
      <c r="M856" s="423" t="s">
        <v>699</v>
      </c>
      <c r="N856" s="206"/>
      <c r="O856" s="546"/>
    </row>
    <row r="857" spans="1:15" ht="15">
      <c r="A857" s="424">
        <v>89229</v>
      </c>
      <c r="B857" t="str">
        <f t="shared" si="28"/>
        <v>SEVROLL spodná krycia lišta 1,7m oliva</v>
      </c>
      <c r="C857" s="209">
        <f t="shared" si="29"/>
        <v>16.607659999999999</v>
      </c>
      <c r="D857" s="542" t="s">
        <v>4275</v>
      </c>
      <c r="E857" s="542" t="s">
        <v>1109</v>
      </c>
      <c r="F857" s="542" t="s">
        <v>4276</v>
      </c>
      <c r="G857" s="542" t="s">
        <v>2432</v>
      </c>
      <c r="H857" s="426">
        <v>445.51168000000001</v>
      </c>
      <c r="I857" s="425">
        <v>16.607659999999999</v>
      </c>
      <c r="J857" s="425">
        <v>59.84</v>
      </c>
      <c r="K857" s="425">
        <v>5047.7734899999996</v>
      </c>
      <c r="L857" s="542" t="s">
        <v>621</v>
      </c>
      <c r="M857" s="423" t="s">
        <v>699</v>
      </c>
      <c r="N857" s="206"/>
      <c r="O857" s="546"/>
    </row>
    <row r="858" spans="1:15" ht="15">
      <c r="A858" s="424">
        <v>119417</v>
      </c>
      <c r="B858" t="str">
        <f t="shared" si="28"/>
        <v>SEVROLL spod. krycia lišta 1,7m oliva kartáč</v>
      </c>
      <c r="C858" s="209">
        <f t="shared" si="29"/>
        <v>20.633019999999998</v>
      </c>
      <c r="D858" s="542" t="s">
        <v>4273</v>
      </c>
      <c r="E858" s="542" t="s">
        <v>2433</v>
      </c>
      <c r="F858" s="542" t="s">
        <v>4274</v>
      </c>
      <c r="G858" s="542" t="s">
        <v>2434</v>
      </c>
      <c r="H858" s="426">
        <v>594.25279999999998</v>
      </c>
      <c r="I858" s="425">
        <v>20.633019999999998</v>
      </c>
      <c r="J858" s="425">
        <v>77.3</v>
      </c>
      <c r="K858" s="425">
        <v>6733.05249</v>
      </c>
      <c r="L858" s="542" t="s">
        <v>621</v>
      </c>
      <c r="M858" s="423" t="s">
        <v>699</v>
      </c>
      <c r="N858" s="206"/>
      <c r="O858" s="546"/>
    </row>
    <row r="859" spans="1:15" ht="15">
      <c r="A859" s="424">
        <v>89228</v>
      </c>
      <c r="B859" t="str">
        <f t="shared" si="28"/>
        <v>SEVROLL spodná krycia lišta 1,7m strieborná</v>
      </c>
      <c r="C859" s="209">
        <f t="shared" si="29"/>
        <v>15.860429999999999</v>
      </c>
      <c r="D859" s="542" t="s">
        <v>4271</v>
      </c>
      <c r="E859" s="542" t="s">
        <v>1108</v>
      </c>
      <c r="F859" s="542" t="s">
        <v>4272</v>
      </c>
      <c r="G859" s="542" t="s">
        <v>2436</v>
      </c>
      <c r="H859" s="426">
        <v>425.58463999999998</v>
      </c>
      <c r="I859" s="425">
        <v>15.860429999999999</v>
      </c>
      <c r="J859" s="425">
        <v>55.48</v>
      </c>
      <c r="K859" s="425">
        <v>4821.99449</v>
      </c>
      <c r="L859" s="542" t="s">
        <v>621</v>
      </c>
      <c r="M859" s="423" t="s">
        <v>699</v>
      </c>
      <c r="N859" s="206"/>
      <c r="O859" s="546"/>
    </row>
    <row r="860" spans="1:15" ht="15">
      <c r="A860" s="424">
        <v>89254</v>
      </c>
      <c r="B860" t="str">
        <f t="shared" ref="B860:B923" si="30">IF($A$2=1,D860,IF($A$2=2,F860,IF($A$2=3,G860,IF($A$2=4,E860,"zadat jazyk"))))</f>
        <v>SEVROLL spodná krycia lišta 1,7m zlatá</v>
      </c>
      <c r="C860" s="209">
        <f t="shared" si="29"/>
        <v>15.860429999999999</v>
      </c>
      <c r="D860" s="542" t="s">
        <v>3305</v>
      </c>
      <c r="E860" s="542" t="s">
        <v>1111</v>
      </c>
      <c r="F860" s="542" t="s">
        <v>3306</v>
      </c>
      <c r="G860" s="542" t="s">
        <v>2437</v>
      </c>
      <c r="H860" s="426">
        <v>425.58463999999998</v>
      </c>
      <c r="I860" s="425">
        <v>15.860429999999999</v>
      </c>
      <c r="J860" s="425">
        <v>59.84</v>
      </c>
      <c r="K860" s="425">
        <v>4821.99449</v>
      </c>
      <c r="L860" s="542" t="s">
        <v>622</v>
      </c>
      <c r="M860" s="423" t="s">
        <v>699</v>
      </c>
      <c r="N860" s="206"/>
      <c r="O860" s="546"/>
    </row>
    <row r="861" spans="1:15" ht="15">
      <c r="A861" s="424">
        <v>267954</v>
      </c>
      <c r="B861" t="str">
        <f t="shared" si="30"/>
        <v>SEVROLL spod.krycia lišta 2,35m biela lesk</v>
      </c>
      <c r="C861" s="209">
        <f t="shared" si="29"/>
        <v>27.7196</v>
      </c>
      <c r="D861" s="542" t="s">
        <v>4269</v>
      </c>
      <c r="E861" s="542" t="s">
        <v>2438</v>
      </c>
      <c r="F861" s="542" t="s">
        <v>4270</v>
      </c>
      <c r="G861" s="542" t="s">
        <v>2439</v>
      </c>
      <c r="H861" s="426">
        <v>798.50495999999998</v>
      </c>
      <c r="I861" s="425">
        <v>27.7196</v>
      </c>
      <c r="J861" s="425">
        <v>99.71</v>
      </c>
      <c r="K861" s="425">
        <v>9047.2872800000005</v>
      </c>
      <c r="L861" s="542" t="s">
        <v>621</v>
      </c>
      <c r="M861" s="423" t="s">
        <v>699</v>
      </c>
      <c r="N861" s="206"/>
      <c r="O861" s="546"/>
    </row>
    <row r="862" spans="1:15" ht="15">
      <c r="A862" s="424">
        <v>89227</v>
      </c>
      <c r="B862" t="str">
        <f t="shared" si="30"/>
        <v>SEVROLL spodná krycia lišta 2,35m oliva</v>
      </c>
      <c r="C862" s="209">
        <f t="shared" si="29"/>
        <v>22.898800000000001</v>
      </c>
      <c r="D862" s="542" t="s">
        <v>4267</v>
      </c>
      <c r="E862" s="542" t="s">
        <v>1107</v>
      </c>
      <c r="F862" s="542" t="s">
        <v>4268</v>
      </c>
      <c r="G862" s="542" t="s">
        <v>2440</v>
      </c>
      <c r="H862" s="426">
        <v>614.89152000000001</v>
      </c>
      <c r="I862" s="425">
        <v>22.898800000000001</v>
      </c>
      <c r="J862" s="425">
        <v>82.71</v>
      </c>
      <c r="K862" s="425">
        <v>6966.8950299999997</v>
      </c>
      <c r="L862" s="542" t="s">
        <v>621</v>
      </c>
      <c r="M862" s="423" t="s">
        <v>699</v>
      </c>
      <c r="N862" s="206"/>
      <c r="O862" s="546"/>
    </row>
    <row r="863" spans="1:15" ht="15">
      <c r="A863" s="424">
        <v>119421</v>
      </c>
      <c r="B863" t="str">
        <f t="shared" si="30"/>
        <v>SEVROLL spod.krycia lišta 2,35m oliva kartáč</v>
      </c>
      <c r="C863" s="209">
        <f t="shared" si="29"/>
        <v>28.56324</v>
      </c>
      <c r="D863" s="542" t="s">
        <v>4265</v>
      </c>
      <c r="E863" s="542" t="s">
        <v>2441</v>
      </c>
      <c r="F863" s="542" t="s">
        <v>4266</v>
      </c>
      <c r="G863" s="542" t="s">
        <v>2442</v>
      </c>
      <c r="H863" s="426">
        <v>822.70208000000002</v>
      </c>
      <c r="I863" s="425">
        <v>28.56324</v>
      </c>
      <c r="J863" s="425">
        <v>106.93</v>
      </c>
      <c r="K863" s="425">
        <v>9321.44751</v>
      </c>
      <c r="L863" s="542" t="s">
        <v>621</v>
      </c>
      <c r="M863" s="423" t="s">
        <v>699</v>
      </c>
      <c r="N863" s="206"/>
      <c r="O863" s="546"/>
    </row>
    <row r="864" spans="1:15" ht="15">
      <c r="A864" s="424">
        <v>89226</v>
      </c>
      <c r="B864" t="str">
        <f t="shared" si="30"/>
        <v>SEVROLL spodná krycia lišta 2,35m strieborná</v>
      </c>
      <c r="C864" s="209">
        <f t="shared" si="29"/>
        <v>21.910540000000001</v>
      </c>
      <c r="D864" s="542" t="s">
        <v>4263</v>
      </c>
      <c r="E864" s="542" t="s">
        <v>1106</v>
      </c>
      <c r="F864" s="542" t="s">
        <v>4264</v>
      </c>
      <c r="G864" s="542" t="s">
        <v>2443</v>
      </c>
      <c r="H864" s="426">
        <v>587.84767999999997</v>
      </c>
      <c r="I864" s="425">
        <v>21.910540000000001</v>
      </c>
      <c r="J864" s="425">
        <v>76.7</v>
      </c>
      <c r="K864" s="425">
        <v>6660.4806699999999</v>
      </c>
      <c r="L864" s="542" t="s">
        <v>621</v>
      </c>
      <c r="M864" s="423" t="s">
        <v>699</v>
      </c>
      <c r="N864" s="206"/>
      <c r="O864" s="546"/>
    </row>
    <row r="865" spans="1:15" ht="15">
      <c r="A865" s="424">
        <v>205173</v>
      </c>
      <c r="B865" t="str">
        <f t="shared" si="30"/>
        <v>SEVROLL spod.krycia lišta 2,35m,čierna kartá</v>
      </c>
      <c r="C865" s="209">
        <f t="shared" si="29"/>
        <v>28.56324</v>
      </c>
      <c r="D865" s="542" t="s">
        <v>4261</v>
      </c>
      <c r="E865" s="542" t="s">
        <v>1079</v>
      </c>
      <c r="F865" s="542" t="s">
        <v>4262</v>
      </c>
      <c r="G865" s="542" t="s">
        <v>2445</v>
      </c>
      <c r="H865" s="426">
        <v>822.70208000000002</v>
      </c>
      <c r="I865" s="425">
        <v>28.56324</v>
      </c>
      <c r="J865" s="425">
        <v>106.93</v>
      </c>
      <c r="K865" s="425">
        <v>9321.44751</v>
      </c>
      <c r="L865" s="542" t="s">
        <v>621</v>
      </c>
      <c r="M865" s="423" t="s">
        <v>699</v>
      </c>
      <c r="N865" s="206"/>
      <c r="O865" s="546"/>
    </row>
    <row r="866" spans="1:15" ht="15">
      <c r="A866" s="424">
        <v>265067</v>
      </c>
      <c r="B866" t="str">
        <f t="shared" si="30"/>
        <v>SEVROLL spodná krycia lišta 3m biela lesk</v>
      </c>
      <c r="C866" s="209">
        <f t="shared" si="29"/>
        <v>35.40878</v>
      </c>
      <c r="D866" s="542" t="s">
        <v>4259</v>
      </c>
      <c r="E866" s="542" t="s">
        <v>2446</v>
      </c>
      <c r="F866" s="542" t="s">
        <v>4260</v>
      </c>
      <c r="G866" s="542" t="s">
        <v>2447</v>
      </c>
      <c r="H866" s="426">
        <v>1019.83744</v>
      </c>
      <c r="I866" s="425">
        <v>35.40878</v>
      </c>
      <c r="J866" s="425">
        <v>127.33</v>
      </c>
      <c r="K866" s="425">
        <v>11555.046969999999</v>
      </c>
      <c r="L866" s="542" t="s">
        <v>621</v>
      </c>
      <c r="M866" s="423" t="s">
        <v>699</v>
      </c>
      <c r="N866" s="206"/>
      <c r="O866" s="546"/>
    </row>
    <row r="867" spans="1:15" ht="15">
      <c r="A867" s="424">
        <v>205175</v>
      </c>
      <c r="B867" t="str">
        <f t="shared" si="30"/>
        <v>SEVROLL spod.krycia lišta 3m čierna kartáč</v>
      </c>
      <c r="C867" s="209">
        <f t="shared" si="29"/>
        <v>36.493459999999999</v>
      </c>
      <c r="D867" s="542" t="s">
        <v>4257</v>
      </c>
      <c r="E867" s="542" t="s">
        <v>2448</v>
      </c>
      <c r="F867" s="542" t="s">
        <v>4258</v>
      </c>
      <c r="G867" s="542" t="s">
        <v>2449</v>
      </c>
      <c r="H867" s="426">
        <v>1051.1513600000001</v>
      </c>
      <c r="I867" s="425">
        <v>36.493459999999999</v>
      </c>
      <c r="J867" s="425">
        <v>136.58000000000001</v>
      </c>
      <c r="K867" s="425">
        <v>11909.84254</v>
      </c>
      <c r="L867" s="542" t="s">
        <v>621</v>
      </c>
      <c r="M867" s="423" t="s">
        <v>699</v>
      </c>
      <c r="N867" s="206"/>
      <c r="O867" s="546"/>
    </row>
    <row r="868" spans="1:15" ht="15">
      <c r="A868" s="424">
        <v>89225</v>
      </c>
      <c r="B868" t="str">
        <f t="shared" si="30"/>
        <v>SEVROLL spodná krycia lišta 3m oliva</v>
      </c>
      <c r="C868" s="209">
        <f t="shared" si="29"/>
        <v>29.310459999999999</v>
      </c>
      <c r="D868" s="542" t="s">
        <v>4255</v>
      </c>
      <c r="E868" s="542" t="s">
        <v>1105</v>
      </c>
      <c r="F868" s="542" t="s">
        <v>4256</v>
      </c>
      <c r="G868" s="542" t="s">
        <v>2450</v>
      </c>
      <c r="H868" s="426">
        <v>786.40639999999996</v>
      </c>
      <c r="I868" s="425">
        <v>29.310459999999999</v>
      </c>
      <c r="J868" s="425">
        <v>105.62</v>
      </c>
      <c r="K868" s="425">
        <v>8910.2071799999994</v>
      </c>
      <c r="L868" s="542" t="s">
        <v>621</v>
      </c>
      <c r="M868" s="423" t="s">
        <v>699</v>
      </c>
      <c r="N868" s="206"/>
      <c r="O868" s="546"/>
    </row>
    <row r="869" spans="1:15" ht="15">
      <c r="A869" s="424">
        <v>119422</v>
      </c>
      <c r="B869" t="str">
        <f t="shared" si="30"/>
        <v>SEVROLL spod.krycia lišta 3m oliva kartáč.</v>
      </c>
      <c r="C869" s="209">
        <f t="shared" si="29"/>
        <v>36.493459999999999</v>
      </c>
      <c r="D869" s="542" t="s">
        <v>4253</v>
      </c>
      <c r="E869" s="542" t="s">
        <v>2451</v>
      </c>
      <c r="F869" s="542" t="s">
        <v>4254</v>
      </c>
      <c r="G869" s="542" t="s">
        <v>2452</v>
      </c>
      <c r="H869" s="426">
        <v>1051.1513600000001</v>
      </c>
      <c r="I869" s="425">
        <v>36.493459999999999</v>
      </c>
      <c r="J869" s="425">
        <v>136.58000000000001</v>
      </c>
      <c r="K869" s="425">
        <v>11909.84254</v>
      </c>
      <c r="L869" s="542" t="s">
        <v>621</v>
      </c>
      <c r="M869" s="423" t="s">
        <v>699</v>
      </c>
      <c r="N869" s="206"/>
      <c r="O869" s="546"/>
    </row>
    <row r="870" spans="1:15" ht="15">
      <c r="A870" s="424">
        <v>89224</v>
      </c>
      <c r="B870" t="str">
        <f t="shared" si="30"/>
        <v>SEVROLL spodná krycia lišta 3m strieborná</v>
      </c>
      <c r="C870" s="209">
        <f t="shared" si="29"/>
        <v>28.03295</v>
      </c>
      <c r="D870" s="542" t="s">
        <v>4251</v>
      </c>
      <c r="E870" s="542" t="s">
        <v>1104</v>
      </c>
      <c r="F870" s="542" t="s">
        <v>4252</v>
      </c>
      <c r="G870" s="542" t="s">
        <v>2454</v>
      </c>
      <c r="H870" s="426">
        <v>752.24576000000002</v>
      </c>
      <c r="I870" s="425">
        <v>28.03295</v>
      </c>
      <c r="J870" s="425">
        <v>97.94</v>
      </c>
      <c r="K870" s="425">
        <v>8523.1574600000004</v>
      </c>
      <c r="L870" s="542" t="s">
        <v>621</v>
      </c>
      <c r="M870" s="423" t="s">
        <v>699</v>
      </c>
      <c r="N870" s="206"/>
      <c r="O870" s="546"/>
    </row>
    <row r="871" spans="1:15" ht="15">
      <c r="A871" s="424">
        <v>89256</v>
      </c>
      <c r="B871" t="str">
        <f t="shared" si="30"/>
        <v>SEVROLL spodná krycia lišta 3m zlatá</v>
      </c>
      <c r="C871" s="209">
        <f t="shared" si="29"/>
        <v>28.03295</v>
      </c>
      <c r="D871" s="542" t="s">
        <v>3299</v>
      </c>
      <c r="E871" s="542" t="s">
        <v>1112</v>
      </c>
      <c r="F871" s="542" t="s">
        <v>3300</v>
      </c>
      <c r="G871" s="542" t="s">
        <v>2455</v>
      </c>
      <c r="H871" s="426">
        <v>752.24576000000002</v>
      </c>
      <c r="I871" s="425">
        <v>28.03295</v>
      </c>
      <c r="J871" s="425">
        <v>105.62</v>
      </c>
      <c r="K871" s="425">
        <v>8523.1574600000004</v>
      </c>
      <c r="L871" s="542" t="s">
        <v>622</v>
      </c>
      <c r="M871" s="423" t="s">
        <v>699</v>
      </c>
      <c r="N871" s="206"/>
      <c r="O871" s="546"/>
    </row>
    <row r="872" spans="1:15" ht="15">
      <c r="A872" s="424">
        <v>223564</v>
      </c>
      <c r="B872" t="str">
        <f t="shared" si="30"/>
        <v>SEVROLL spod.krycia lišta Simple/Blue 3m(10mm)oliv</v>
      </c>
      <c r="C872" s="209">
        <f t="shared" si="29"/>
        <v>24.35971</v>
      </c>
      <c r="D872" s="542" t="s">
        <v>3276</v>
      </c>
      <c r="E872" s="542" t="s">
        <v>3277</v>
      </c>
      <c r="F872" s="542" t="s">
        <v>3279</v>
      </c>
      <c r="G872" s="542" t="s">
        <v>3278</v>
      </c>
      <c r="H872" s="426">
        <v>565.20180000000005</v>
      </c>
      <c r="I872" s="425">
        <v>24.35971</v>
      </c>
      <c r="J872" s="425">
        <v>74.58</v>
      </c>
      <c r="K872" s="425">
        <v>6071.8425399999996</v>
      </c>
      <c r="L872" s="542" t="s">
        <v>1025</v>
      </c>
      <c r="M872" s="423" t="s">
        <v>699</v>
      </c>
      <c r="N872" s="206"/>
      <c r="O872" s="546"/>
    </row>
    <row r="873" spans="1:15" ht="15">
      <c r="A873" s="424">
        <v>222574</v>
      </c>
      <c r="B873" t="str">
        <f t="shared" si="30"/>
        <v>SEVROLL spod.krycia lišta Simple/Blue 3m(10mm)str</v>
      </c>
      <c r="C873" s="209">
        <f t="shared" si="29"/>
        <v>21.58042</v>
      </c>
      <c r="D873" s="542" t="s">
        <v>4231</v>
      </c>
      <c r="E873" s="542" t="s">
        <v>4232</v>
      </c>
      <c r="F873" s="542" t="s">
        <v>4234</v>
      </c>
      <c r="G873" s="542" t="s">
        <v>4233</v>
      </c>
      <c r="H873" s="426">
        <v>499.89960000000002</v>
      </c>
      <c r="I873" s="425">
        <v>21.58042</v>
      </c>
      <c r="J873" s="425">
        <v>64.88</v>
      </c>
      <c r="K873" s="425">
        <v>5370.3149199999998</v>
      </c>
      <c r="L873" s="542" t="s">
        <v>621</v>
      </c>
      <c r="M873" s="423" t="s">
        <v>699</v>
      </c>
      <c r="N873" s="206"/>
      <c r="O873" s="546"/>
    </row>
    <row r="874" spans="1:15" ht="15">
      <c r="A874" s="424">
        <v>224140</v>
      </c>
      <c r="B874" t="str">
        <f t="shared" si="30"/>
        <v>SEVROLL spodná krycia lišta Simple/Blue (18m</v>
      </c>
      <c r="C874" s="209" t="e">
        <f t="shared" si="29"/>
        <v>#N/A</v>
      </c>
      <c r="D874" s="542" t="s">
        <v>4245</v>
      </c>
      <c r="E874" s="542" t="s">
        <v>2456</v>
      </c>
      <c r="F874" s="542" t="s">
        <v>4246</v>
      </c>
      <c r="G874" s="542" t="s">
        <v>2457</v>
      </c>
      <c r="H874" s="426">
        <v>351.25299999999999</v>
      </c>
      <c r="I874" s="425" t="e">
        <v>#N/A</v>
      </c>
      <c r="J874" s="425">
        <v>51.32</v>
      </c>
      <c r="K874" s="425">
        <v>1E-3</v>
      </c>
      <c r="L874" s="542" t="s">
        <v>7984</v>
      </c>
      <c r="M874" s="423" t="s">
        <v>699</v>
      </c>
      <c r="N874" s="206"/>
      <c r="O874" s="546"/>
    </row>
    <row r="875" spans="1:15" ht="15">
      <c r="A875" s="424">
        <v>224137</v>
      </c>
      <c r="B875" t="str">
        <f t="shared" si="30"/>
        <v>SEVROLL spod.kryc.lišta Simple/Blue 1,5m(18m</v>
      </c>
      <c r="C875" s="209">
        <f t="shared" si="29"/>
        <v>11.98912</v>
      </c>
      <c r="D875" s="542" t="s">
        <v>4243</v>
      </c>
      <c r="E875" s="542" t="s">
        <v>2458</v>
      </c>
      <c r="F875" s="542" t="s">
        <v>4244</v>
      </c>
      <c r="G875" s="542" t="s">
        <v>2459</v>
      </c>
      <c r="H875" s="426">
        <v>321.08999999999997</v>
      </c>
      <c r="I875" s="425">
        <v>11.98912</v>
      </c>
      <c r="J875" s="425">
        <v>45.6</v>
      </c>
      <c r="K875" s="425">
        <v>2983.50828</v>
      </c>
      <c r="L875" s="542" t="s">
        <v>621</v>
      </c>
      <c r="M875" s="423" t="s">
        <v>699</v>
      </c>
      <c r="N875" s="206"/>
      <c r="O875" s="546"/>
    </row>
    <row r="876" spans="1:15" ht="15">
      <c r="A876" s="424">
        <v>224142</v>
      </c>
      <c r="B876" t="str">
        <f t="shared" si="30"/>
        <v>SEVROLL spodná krycia lišta Simple/Blue 2,5m</v>
      </c>
      <c r="C876" s="209">
        <f t="shared" si="29"/>
        <v>0</v>
      </c>
      <c r="D876" s="542" t="s">
        <v>3286</v>
      </c>
      <c r="E876" s="542" t="s">
        <v>2460</v>
      </c>
      <c r="F876" s="542" t="s">
        <v>3285</v>
      </c>
      <c r="G876" s="542" t="s">
        <v>2461</v>
      </c>
      <c r="H876" s="426">
        <v>443.6046</v>
      </c>
      <c r="I876" s="425">
        <v>0</v>
      </c>
      <c r="J876" s="425">
        <v>58.638979999999997</v>
      </c>
      <c r="K876" s="425">
        <v>4765.54972</v>
      </c>
      <c r="L876" s="542" t="s">
        <v>622</v>
      </c>
      <c r="M876" s="423" t="s">
        <v>699</v>
      </c>
      <c r="N876" s="206"/>
      <c r="O876" s="546"/>
    </row>
    <row r="877" spans="1:15" ht="15">
      <c r="A877" s="424">
        <v>224139</v>
      </c>
      <c r="B877" t="str">
        <f t="shared" si="30"/>
        <v>SEVROLL spodná krycia lišta Simple/Blue 2,5m</v>
      </c>
      <c r="C877" s="209">
        <f t="shared" si="29"/>
        <v>19.536819999999999</v>
      </c>
      <c r="D877" s="542" t="s">
        <v>3284</v>
      </c>
      <c r="E877" s="542" t="s">
        <v>2462</v>
      </c>
      <c r="F877" s="542" t="s">
        <v>3285</v>
      </c>
      <c r="G877" s="542" t="s">
        <v>2463</v>
      </c>
      <c r="H877" s="426">
        <v>453.36239999999998</v>
      </c>
      <c r="I877" s="425">
        <v>19.536819999999999</v>
      </c>
      <c r="J877" s="425">
        <v>76</v>
      </c>
      <c r="K877" s="425">
        <v>4870.3756899999998</v>
      </c>
      <c r="L877" s="542" t="s">
        <v>622</v>
      </c>
      <c r="M877" s="423" t="s">
        <v>699</v>
      </c>
      <c r="N877" s="206"/>
      <c r="O877" s="546"/>
    </row>
    <row r="878" spans="1:15" ht="15">
      <c r="A878" s="424">
        <v>224141</v>
      </c>
      <c r="B878" t="str">
        <f t="shared" si="30"/>
        <v>SEVROLL spodná krycia lišta Simple/Blue 2m (</v>
      </c>
      <c r="C878" s="209">
        <f t="shared" si="29"/>
        <v>17.792940000000002</v>
      </c>
      <c r="D878" s="542" t="s">
        <v>4237</v>
      </c>
      <c r="E878" s="542" t="s">
        <v>1160</v>
      </c>
      <c r="F878" s="542" t="s">
        <v>4238</v>
      </c>
      <c r="G878" s="542" t="s">
        <v>2464</v>
      </c>
      <c r="H878" s="426">
        <v>465.09399999999999</v>
      </c>
      <c r="I878" s="425">
        <v>17.792940000000002</v>
      </c>
      <c r="J878" s="425">
        <v>68.38</v>
      </c>
      <c r="K878" s="425">
        <v>4434.9447499999997</v>
      </c>
      <c r="L878" s="542" t="s">
        <v>621</v>
      </c>
      <c r="M878" s="423" t="s">
        <v>699</v>
      </c>
      <c r="N878" s="206"/>
      <c r="O878" s="546"/>
    </row>
    <row r="879" spans="1:15" ht="15">
      <c r="A879" s="424">
        <v>224138</v>
      </c>
      <c r="B879" t="str">
        <f t="shared" si="30"/>
        <v>SEVROLL spod.kryc.lišta Simple 2m(18mm)str.</v>
      </c>
      <c r="C879" s="209">
        <f t="shared" si="29"/>
        <v>15.776590000000001</v>
      </c>
      <c r="D879" s="542" t="s">
        <v>4235</v>
      </c>
      <c r="E879" s="542" t="s">
        <v>2465</v>
      </c>
      <c r="F879" s="542" t="s">
        <v>4236</v>
      </c>
      <c r="G879" s="542" t="s">
        <v>2466</v>
      </c>
      <c r="H879" s="426">
        <v>423.255</v>
      </c>
      <c r="I879" s="425">
        <v>15.776590000000001</v>
      </c>
      <c r="J879" s="425">
        <v>60.82</v>
      </c>
      <c r="K879" s="425">
        <v>3926.942</v>
      </c>
      <c r="L879" s="542" t="s">
        <v>621</v>
      </c>
      <c r="M879" s="423" t="s">
        <v>699</v>
      </c>
      <c r="N879" s="206"/>
      <c r="O879" s="546"/>
    </row>
    <row r="880" spans="1:15" ht="15">
      <c r="A880" s="424">
        <v>223562</v>
      </c>
      <c r="B880" t="str">
        <f t="shared" si="30"/>
        <v>SEVROLL spodná krycia lišta Simple/Blue 3m (</v>
      </c>
      <c r="C880" s="209">
        <f t="shared" si="29"/>
        <v>26.26707</v>
      </c>
      <c r="D880" s="542" t="s">
        <v>4229</v>
      </c>
      <c r="E880" s="542" t="s">
        <v>2467</v>
      </c>
      <c r="F880" s="542" t="s">
        <v>4230</v>
      </c>
      <c r="G880" s="542" t="s">
        <v>2468</v>
      </c>
      <c r="H880" s="426">
        <v>686.93799999999999</v>
      </c>
      <c r="I880" s="425">
        <v>26.26707</v>
      </c>
      <c r="J880" s="425">
        <v>102.57</v>
      </c>
      <c r="K880" s="425">
        <v>6547.5911599999999</v>
      </c>
      <c r="L880" s="542" t="s">
        <v>621</v>
      </c>
      <c r="M880" s="423" t="s">
        <v>699</v>
      </c>
      <c r="N880" s="206"/>
      <c r="O880" s="546"/>
    </row>
    <row r="881" spans="1:15" ht="15">
      <c r="A881" s="424">
        <v>222572</v>
      </c>
      <c r="B881" t="str">
        <f t="shared" si="30"/>
        <v>SEVROLL spod.krycia lišta Simple 3m(18mm)str</v>
      </c>
      <c r="C881" s="209">
        <f t="shared" si="29"/>
        <v>23.26979</v>
      </c>
      <c r="D881" s="542" t="s">
        <v>4013</v>
      </c>
      <c r="E881" s="542" t="s">
        <v>2469</v>
      </c>
      <c r="F881" s="542" t="s">
        <v>4014</v>
      </c>
      <c r="G881" s="542" t="s">
        <v>2470</v>
      </c>
      <c r="H881" s="426">
        <v>624.66600000000005</v>
      </c>
      <c r="I881" s="425">
        <v>23.26979</v>
      </c>
      <c r="J881" s="425">
        <v>91.22</v>
      </c>
      <c r="K881" s="425">
        <v>5797.6823299999996</v>
      </c>
      <c r="L881" s="542" t="s">
        <v>1025</v>
      </c>
      <c r="M881" s="423" t="s">
        <v>699</v>
      </c>
      <c r="N881" s="206"/>
      <c r="O881" s="546"/>
    </row>
    <row r="882" spans="1:15" ht="15">
      <c r="A882" s="424">
        <v>228083</v>
      </c>
      <c r="B882" t="str">
        <f t="shared" si="30"/>
        <v>SEVROLL spodný vozík pre DTD 18mm - 2ks + po</v>
      </c>
      <c r="C882" s="209" t="e">
        <f t="shared" si="29"/>
        <v>#N/A</v>
      </c>
      <c r="D882" s="542" t="s">
        <v>3039</v>
      </c>
      <c r="E882" s="542" t="s">
        <v>2474</v>
      </c>
      <c r="F882" s="542" t="s">
        <v>3040</v>
      </c>
      <c r="G882" s="542" t="s">
        <v>2475</v>
      </c>
      <c r="H882" s="426">
        <v>1E-3</v>
      </c>
      <c r="I882" s="425" t="e">
        <v>#N/A</v>
      </c>
      <c r="J882" s="425">
        <v>1E-3</v>
      </c>
      <c r="K882" s="425">
        <v>1E-3</v>
      </c>
      <c r="L882" s="542" t="s">
        <v>7984</v>
      </c>
      <c r="M882" s="423" t="s">
        <v>700</v>
      </c>
      <c r="N882" s="206"/>
      <c r="O882" s="546"/>
    </row>
    <row r="883" spans="1:15" ht="15">
      <c r="A883" s="424">
        <v>229446</v>
      </c>
      <c r="B883" t="str">
        <f t="shared" si="30"/>
        <v>SEVROLL spodný vozík Simple/Blue V (rámový s</v>
      </c>
      <c r="C883" s="209">
        <f t="shared" si="29"/>
        <v>2.86104</v>
      </c>
      <c r="D883" s="542" t="s">
        <v>4009</v>
      </c>
      <c r="E883" s="542" t="s">
        <v>2480</v>
      </c>
      <c r="F883" s="542" t="s">
        <v>4010</v>
      </c>
      <c r="G883" s="542" t="s">
        <v>2481</v>
      </c>
      <c r="H883" s="426">
        <v>82.399199999999993</v>
      </c>
      <c r="I883" s="425">
        <v>2.86104</v>
      </c>
      <c r="J883" s="425">
        <v>15.06</v>
      </c>
      <c r="K883" s="425">
        <v>701.52761999999996</v>
      </c>
      <c r="L883" s="542" t="s">
        <v>1025</v>
      </c>
      <c r="M883" s="423" t="s">
        <v>703</v>
      </c>
      <c r="N883" s="206"/>
      <c r="O883" s="546"/>
    </row>
    <row r="884" spans="1:15" ht="15">
      <c r="A884" s="424">
        <v>228082</v>
      </c>
      <c r="B884" t="str">
        <f t="shared" si="30"/>
        <v>SEVROLL spodný vozík V 10mm(2ks+pozicionér)</v>
      </c>
      <c r="C884" s="209" t="e">
        <f t="shared" si="29"/>
        <v>#N/A</v>
      </c>
      <c r="D884" s="542" t="s">
        <v>3036</v>
      </c>
      <c r="E884" s="542" t="s">
        <v>3037</v>
      </c>
      <c r="F884" s="542" t="s">
        <v>3038</v>
      </c>
      <c r="G884" s="542" t="s">
        <v>2482</v>
      </c>
      <c r="H884" s="426">
        <v>1E-3</v>
      </c>
      <c r="I884" s="425" t="e">
        <v>#N/A</v>
      </c>
      <c r="J884" s="425">
        <v>1E-3</v>
      </c>
      <c r="K884" s="425">
        <v>1E-3</v>
      </c>
      <c r="L884" s="542" t="s">
        <v>7984</v>
      </c>
      <c r="M884" s="423" t="s">
        <v>700</v>
      </c>
      <c r="N884" s="206"/>
      <c r="O884" s="546"/>
    </row>
    <row r="885" spans="1:15" ht="15">
      <c r="A885" s="424">
        <v>328321</v>
      </c>
      <c r="B885" t="str">
        <f t="shared" si="30"/>
        <v>SEV-spodní vozík WD10 V 2ks bez pozicionéru</v>
      </c>
      <c r="C885" s="209">
        <f t="shared" si="29"/>
        <v>6.1947299999999998</v>
      </c>
      <c r="D885" s="542" t="s">
        <v>4007</v>
      </c>
      <c r="E885" s="542" t="s">
        <v>2484</v>
      </c>
      <c r="F885" s="542" t="s">
        <v>2483</v>
      </c>
      <c r="G885" s="542" t="s">
        <v>4008</v>
      </c>
      <c r="H885" s="426">
        <v>166.53312</v>
      </c>
      <c r="I885" s="425">
        <v>6.1947299999999998</v>
      </c>
      <c r="J885" s="425">
        <v>27.19</v>
      </c>
      <c r="K885" s="425">
        <v>1886.8674100000001</v>
      </c>
      <c r="L885" s="542" t="s">
        <v>1025</v>
      </c>
      <c r="M885" s="423" t="s">
        <v>700</v>
      </c>
      <c r="N885" s="206"/>
      <c r="O885" s="546"/>
    </row>
    <row r="886" spans="1:15" ht="15">
      <c r="A886" s="424">
        <v>89068</v>
      </c>
      <c r="B886" t="str">
        <f t="shared" si="30"/>
        <v>SEVROL-SP.VOZÍK WD18V(2 KOL.+POZICIONÉR)</v>
      </c>
      <c r="C886" s="209" t="e">
        <f t="shared" si="29"/>
        <v>#N/A</v>
      </c>
      <c r="D886" s="542" t="s">
        <v>3033</v>
      </c>
      <c r="E886" s="542" t="s">
        <v>2486</v>
      </c>
      <c r="F886" s="542" t="s">
        <v>628</v>
      </c>
      <c r="G886" s="542" t="s">
        <v>2487</v>
      </c>
      <c r="H886" s="426">
        <v>1E-3</v>
      </c>
      <c r="I886" s="425" t="e">
        <v>#N/A</v>
      </c>
      <c r="J886" s="425">
        <v>1E-3</v>
      </c>
      <c r="K886" s="425">
        <v>1E-3</v>
      </c>
      <c r="L886" s="542" t="s">
        <v>7984</v>
      </c>
      <c r="M886" s="423" t="s">
        <v>699</v>
      </c>
      <c r="N886" s="206"/>
      <c r="O886" s="546"/>
    </row>
    <row r="887" spans="1:15" ht="15">
      <c r="A887" s="424">
        <v>229436</v>
      </c>
      <c r="B887" t="str">
        <f t="shared" si="30"/>
        <v>SEVROLL spodný vozík WD18V (2x vozík+pozic.)</v>
      </c>
      <c r="C887" s="209">
        <f t="shared" si="29"/>
        <v>3.40517</v>
      </c>
      <c r="D887" s="542" t="s">
        <v>3030</v>
      </c>
      <c r="E887" s="542" t="s">
        <v>3031</v>
      </c>
      <c r="F887" s="542" t="s">
        <v>3032</v>
      </c>
      <c r="G887" s="542" t="s">
        <v>2488</v>
      </c>
      <c r="H887" s="426">
        <v>104.08320000000001</v>
      </c>
      <c r="I887" s="425">
        <v>3.40517</v>
      </c>
      <c r="J887" s="425">
        <v>14.272180000000001</v>
      </c>
      <c r="K887" s="425">
        <v>0</v>
      </c>
      <c r="L887" s="542" t="s">
        <v>623</v>
      </c>
      <c r="M887" s="423" t="s">
        <v>700</v>
      </c>
      <c r="N887" s="206"/>
      <c r="O887" s="546"/>
    </row>
    <row r="888" spans="1:15" ht="15">
      <c r="A888" s="424">
        <v>205172</v>
      </c>
      <c r="B888" t="str">
        <f t="shared" si="30"/>
        <v>SEVROLL sp.kryc.lišta 2,35m oliva tm.kartáč</v>
      </c>
      <c r="C888" s="209">
        <f t="shared" si="29"/>
        <v>28.56324</v>
      </c>
      <c r="D888" s="542" t="s">
        <v>3270</v>
      </c>
      <c r="E888" s="542" t="s">
        <v>1078</v>
      </c>
      <c r="F888" s="542" t="s">
        <v>3271</v>
      </c>
      <c r="G888" s="542" t="s">
        <v>2489</v>
      </c>
      <c r="H888" s="426">
        <v>822.70208000000002</v>
      </c>
      <c r="I888" s="425">
        <v>28.56324</v>
      </c>
      <c r="J888" s="425">
        <v>106.93</v>
      </c>
      <c r="K888" s="425">
        <v>9321.44751</v>
      </c>
      <c r="L888" s="542" t="s">
        <v>622</v>
      </c>
      <c r="M888" s="423" t="s">
        <v>699</v>
      </c>
      <c r="N888" s="206"/>
      <c r="O888" s="546"/>
    </row>
    <row r="889" spans="1:15" ht="15">
      <c r="A889" s="424">
        <v>214745</v>
      </c>
      <c r="B889" t="str">
        <f t="shared" si="30"/>
        <v>SEVROLL spojovacia lišta H10 Decor 3m strieb</v>
      </c>
      <c r="C889" s="209">
        <f t="shared" si="29"/>
        <v>14.390090000000001</v>
      </c>
      <c r="D889" s="542" t="s">
        <v>4205</v>
      </c>
      <c r="E889" s="542" t="s">
        <v>1157</v>
      </c>
      <c r="F889" s="542" t="s">
        <v>4206</v>
      </c>
      <c r="G889" s="542" t="s">
        <v>2513</v>
      </c>
      <c r="H889" s="426">
        <v>437.6832</v>
      </c>
      <c r="I889" s="425">
        <v>14.390090000000001</v>
      </c>
      <c r="J889" s="425">
        <v>51.72</v>
      </c>
      <c r="K889" s="425">
        <v>4959.0745900000002</v>
      </c>
      <c r="L889" s="542" t="s">
        <v>621</v>
      </c>
      <c r="M889" s="423" t="s">
        <v>699</v>
      </c>
      <c r="N889" s="206"/>
      <c r="O889" s="546"/>
    </row>
    <row r="890" spans="1:15" ht="15">
      <c r="A890" s="424">
        <v>252567</v>
      </c>
      <c r="B890" t="str">
        <f t="shared" si="30"/>
        <v>SEVROLL spojovacia lišta H18 3m biela lesk</v>
      </c>
      <c r="C890" s="209">
        <f t="shared" si="29"/>
        <v>18.077999999999999</v>
      </c>
      <c r="D890" s="542" t="s">
        <v>4203</v>
      </c>
      <c r="E890" s="542" t="s">
        <v>2516</v>
      </c>
      <c r="F890" s="542" t="s">
        <v>4204</v>
      </c>
      <c r="G890" s="542" t="s">
        <v>2517</v>
      </c>
      <c r="H890" s="426">
        <v>485.36576000000002</v>
      </c>
      <c r="I890" s="425">
        <v>18.077999999999999</v>
      </c>
      <c r="J890" s="425">
        <v>64.03</v>
      </c>
      <c r="K890" s="425">
        <v>5499.3314899999996</v>
      </c>
      <c r="L890" s="542" t="s">
        <v>621</v>
      </c>
      <c r="M890" s="423" t="s">
        <v>699</v>
      </c>
      <c r="N890" s="206"/>
      <c r="O890" s="546"/>
    </row>
    <row r="891" spans="1:15" ht="15">
      <c r="A891" s="424">
        <v>223391</v>
      </c>
      <c r="B891" t="str">
        <f t="shared" si="30"/>
        <v>SEVROLL spoj.lišta H18 3m čierna kartáč</v>
      </c>
      <c r="C891" s="209">
        <f t="shared" ref="C891:C954" si="31">IF($A$2=1,H891,IF($A$2=2,I891,IF($A$2=3,J891,IF($A$2=4,K891,"zadat jazyk"))))</f>
        <v>18.873429999999999</v>
      </c>
      <c r="D891" s="542" t="s">
        <v>4201</v>
      </c>
      <c r="E891" s="542" t="s">
        <v>1021</v>
      </c>
      <c r="F891" s="542" t="s">
        <v>4202</v>
      </c>
      <c r="G891" s="542" t="s">
        <v>2518</v>
      </c>
      <c r="H891" s="426">
        <v>506.71616</v>
      </c>
      <c r="I891" s="425">
        <v>18.873429999999999</v>
      </c>
      <c r="J891" s="425">
        <v>69.069999999999993</v>
      </c>
      <c r="K891" s="425">
        <v>5741.2375700000002</v>
      </c>
      <c r="L891" s="542" t="s">
        <v>621</v>
      </c>
      <c r="M891" s="423" t="s">
        <v>699</v>
      </c>
      <c r="N891" s="206"/>
      <c r="O891" s="546"/>
    </row>
    <row r="892" spans="1:15" ht="15">
      <c r="A892" s="424">
        <v>89012</v>
      </c>
      <c r="B892" t="str">
        <f t="shared" si="30"/>
        <v>SEVROLL spojovacia lišta H18 3m oliva</v>
      </c>
      <c r="C892" s="209">
        <f t="shared" si="31"/>
        <v>14.052630000000001</v>
      </c>
      <c r="D892" s="542" t="s">
        <v>4199</v>
      </c>
      <c r="E892" s="542" t="s">
        <v>274</v>
      </c>
      <c r="F892" s="542" t="s">
        <v>4200</v>
      </c>
      <c r="G892" s="542" t="s">
        <v>2519</v>
      </c>
      <c r="H892" s="426">
        <v>377.19040000000001</v>
      </c>
      <c r="I892" s="425">
        <v>14.052630000000001</v>
      </c>
      <c r="J892" s="425">
        <v>54.17</v>
      </c>
      <c r="K892" s="425">
        <v>4273.6740300000001</v>
      </c>
      <c r="L892" s="542" t="s">
        <v>621</v>
      </c>
      <c r="M892" s="423" t="s">
        <v>699</v>
      </c>
      <c r="N892" s="206"/>
      <c r="O892" s="546"/>
    </row>
    <row r="893" spans="1:15" ht="15">
      <c r="A893" s="424">
        <v>191704</v>
      </c>
      <c r="B893" t="str">
        <f t="shared" si="30"/>
        <v>SEVROLL spojovacia lišta H18 3m oliva kartáč</v>
      </c>
      <c r="C893" s="209">
        <f t="shared" si="31"/>
        <v>18.873429999999999</v>
      </c>
      <c r="D893" s="542" t="s">
        <v>4197</v>
      </c>
      <c r="E893" s="542" t="s">
        <v>2520</v>
      </c>
      <c r="F893" s="542" t="s">
        <v>4198</v>
      </c>
      <c r="G893" s="542" t="s">
        <v>2521</v>
      </c>
      <c r="H893" s="426">
        <v>506.71616</v>
      </c>
      <c r="I893" s="425">
        <v>18.873429999999999</v>
      </c>
      <c r="J893" s="425">
        <v>69.069999999999993</v>
      </c>
      <c r="K893" s="425">
        <v>5741.2375700000002</v>
      </c>
      <c r="L893" s="542" t="s">
        <v>621</v>
      </c>
      <c r="M893" s="423" t="s">
        <v>699</v>
      </c>
      <c r="N893" s="206"/>
      <c r="O893" s="546"/>
    </row>
    <row r="894" spans="1:15" ht="15">
      <c r="A894" s="424">
        <v>223332</v>
      </c>
      <c r="B894" t="str">
        <f t="shared" si="30"/>
        <v>SEVROLL spoj.lišta H18 3m oliva tm.kartáč</v>
      </c>
      <c r="C894" s="209">
        <f t="shared" si="31"/>
        <v>18.873429999999999</v>
      </c>
      <c r="D894" s="542" t="s">
        <v>3257</v>
      </c>
      <c r="E894" s="542" t="s">
        <v>2522</v>
      </c>
      <c r="F894" s="542" t="s">
        <v>3258</v>
      </c>
      <c r="G894" s="542" t="s">
        <v>2523</v>
      </c>
      <c r="H894" s="426">
        <v>506.71616</v>
      </c>
      <c r="I894" s="425">
        <v>18.873429999999999</v>
      </c>
      <c r="J894" s="425">
        <v>69.069999999999993</v>
      </c>
      <c r="K894" s="425">
        <v>5741.2375700000002</v>
      </c>
      <c r="L894" s="542" t="s">
        <v>622</v>
      </c>
      <c r="M894" s="423" t="s">
        <v>699</v>
      </c>
      <c r="N894" s="206"/>
      <c r="O894" s="546"/>
    </row>
    <row r="895" spans="1:15" ht="15">
      <c r="A895" s="424">
        <v>89010</v>
      </c>
      <c r="B895" t="str">
        <f t="shared" si="30"/>
        <v>SEVROLL spojovacia lišta H18 3m strieborná</v>
      </c>
      <c r="C895" s="209">
        <f t="shared" si="31"/>
        <v>13.89648</v>
      </c>
      <c r="D895" s="542" t="s">
        <v>4005</v>
      </c>
      <c r="E895" s="542" t="s">
        <v>2524</v>
      </c>
      <c r="F895" s="542" t="s">
        <v>4006</v>
      </c>
      <c r="G895" s="542" t="s">
        <v>2525</v>
      </c>
      <c r="H895" s="426">
        <v>337.79489999999998</v>
      </c>
      <c r="I895" s="425">
        <v>13.89648</v>
      </c>
      <c r="J895" s="425">
        <v>49.24</v>
      </c>
      <c r="K895" s="425">
        <v>3741.4806699999999</v>
      </c>
      <c r="L895" s="542" t="s">
        <v>1025</v>
      </c>
      <c r="M895" s="423" t="s">
        <v>699</v>
      </c>
      <c r="N895" s="206"/>
      <c r="O895" s="546"/>
    </row>
    <row r="896" spans="1:15" ht="15">
      <c r="A896" s="424">
        <v>89011</v>
      </c>
      <c r="B896" t="str">
        <f t="shared" si="30"/>
        <v>SEVROLL spojovacia lišta H18 3m zlatá</v>
      </c>
      <c r="C896" s="209">
        <f t="shared" si="31"/>
        <v>14.052630000000001</v>
      </c>
      <c r="D896" s="542" t="s">
        <v>3255</v>
      </c>
      <c r="E896" s="542" t="s">
        <v>2526</v>
      </c>
      <c r="F896" s="542" t="s">
        <v>3256</v>
      </c>
      <c r="G896" s="542" t="s">
        <v>2527</v>
      </c>
      <c r="H896" s="426">
        <v>377.19040000000001</v>
      </c>
      <c r="I896" s="425">
        <v>14.052630000000001</v>
      </c>
      <c r="J896" s="425">
        <v>54.17</v>
      </c>
      <c r="K896" s="425">
        <v>4273.6740300000001</v>
      </c>
      <c r="L896" s="542" t="s">
        <v>622</v>
      </c>
      <c r="M896" s="423" t="s">
        <v>699</v>
      </c>
      <c r="N896" s="206"/>
      <c r="O896" s="546"/>
    </row>
    <row r="897" spans="1:15" ht="15">
      <c r="A897" s="424">
        <v>224158</v>
      </c>
      <c r="B897" t="str">
        <f t="shared" si="30"/>
        <v>SEVROLL spojovacia lišta Simple/Blue H21 3m</v>
      </c>
      <c r="C897" s="209">
        <f t="shared" si="31"/>
        <v>15.64035</v>
      </c>
      <c r="D897" s="542" t="s">
        <v>4191</v>
      </c>
      <c r="E897" s="542" t="s">
        <v>2533</v>
      </c>
      <c r="F897" s="542" t="s">
        <v>4192</v>
      </c>
      <c r="G897" s="542" t="s">
        <v>2534</v>
      </c>
      <c r="H897" s="426">
        <v>412.86336</v>
      </c>
      <c r="I897" s="425">
        <v>15.64035</v>
      </c>
      <c r="J897" s="425">
        <v>51.18</v>
      </c>
      <c r="K897" s="425">
        <v>4176.9116100000001</v>
      </c>
      <c r="L897" s="542" t="s">
        <v>621</v>
      </c>
      <c r="M897" s="423" t="s">
        <v>699</v>
      </c>
      <c r="N897" s="206"/>
      <c r="O897" s="546"/>
    </row>
    <row r="898" spans="1:15" ht="15">
      <c r="A898" s="424">
        <v>223560</v>
      </c>
      <c r="B898" t="str">
        <f t="shared" si="30"/>
        <v>SEVROLL spojovacia lišta Simple/Blue 3m (18m</v>
      </c>
      <c r="C898" s="209">
        <f t="shared" si="31"/>
        <v>27.139009999999999</v>
      </c>
      <c r="D898" s="542" t="s">
        <v>4189</v>
      </c>
      <c r="E898" s="542" t="s">
        <v>2536</v>
      </c>
      <c r="F898" s="542" t="s">
        <v>4190</v>
      </c>
      <c r="G898" s="542" t="s">
        <v>2537</v>
      </c>
      <c r="H898" s="426">
        <v>717.81775000000005</v>
      </c>
      <c r="I898" s="425">
        <v>27.139009999999999</v>
      </c>
      <c r="J898" s="425">
        <v>76.010000000000005</v>
      </c>
      <c r="K898" s="425">
        <v>7257.1823299999996</v>
      </c>
      <c r="L898" s="542" t="s">
        <v>621</v>
      </c>
      <c r="M898" s="423" t="s">
        <v>699</v>
      </c>
      <c r="N898" s="206"/>
      <c r="O898" s="546"/>
    </row>
    <row r="899" spans="1:15" ht="15">
      <c r="A899" s="424">
        <v>98073</v>
      </c>
      <c r="B899" t="str">
        <f t="shared" si="30"/>
        <v>SEVROLL System 10 II úch.lišta 2,7m striebor</v>
      </c>
      <c r="C899" s="209">
        <f t="shared" si="31"/>
        <v>19.789380000000001</v>
      </c>
      <c r="D899" s="542" t="s">
        <v>4181</v>
      </c>
      <c r="E899" s="542" t="s">
        <v>1294</v>
      </c>
      <c r="F899" s="542" t="s">
        <v>4182</v>
      </c>
      <c r="G899" s="542" t="s">
        <v>2547</v>
      </c>
      <c r="H899" s="426">
        <v>547.28192000000001</v>
      </c>
      <c r="I899" s="425">
        <v>19.789380000000001</v>
      </c>
      <c r="J899" s="425">
        <v>77.900000000000006</v>
      </c>
      <c r="K899" s="425">
        <v>6200.8591299999998</v>
      </c>
      <c r="L899" s="542" t="s">
        <v>621</v>
      </c>
      <c r="M899" s="423" t="s">
        <v>699</v>
      </c>
      <c r="N899" s="206"/>
      <c r="O899" s="546"/>
    </row>
    <row r="900" spans="1:15" ht="15">
      <c r="A900" s="424">
        <v>135164</v>
      </c>
      <c r="B900" t="str">
        <f t="shared" si="30"/>
        <v>SEVROLL- TESNENIE NA SKLO 4,5mm</v>
      </c>
      <c r="C900" s="209">
        <f t="shared" si="31"/>
        <v>0.79542999999999997</v>
      </c>
      <c r="D900" s="542" t="s">
        <v>4176</v>
      </c>
      <c r="E900" s="542" t="s">
        <v>2552</v>
      </c>
      <c r="F900" s="542" t="s">
        <v>631</v>
      </c>
      <c r="G900" s="542" t="s">
        <v>2553</v>
      </c>
      <c r="H900" s="426">
        <v>22.773759999999999</v>
      </c>
      <c r="I900" s="425">
        <v>0.79542999999999997</v>
      </c>
      <c r="J900" s="425">
        <v>2.8</v>
      </c>
      <c r="K900" s="425">
        <v>258.03314999999998</v>
      </c>
      <c r="L900" s="542" t="s">
        <v>621</v>
      </c>
      <c r="M900" s="423" t="s">
        <v>698</v>
      </c>
      <c r="N900" s="206"/>
      <c r="O900" s="546"/>
    </row>
    <row r="901" spans="1:15" ht="15">
      <c r="A901" s="424">
        <v>89238</v>
      </c>
      <c r="B901" t="str">
        <f t="shared" si="30"/>
        <v>SEVROLL tesnenie na sklo 10/4mm</v>
      </c>
      <c r="C901" s="209">
        <f t="shared" si="31"/>
        <v>0.89917999999999998</v>
      </c>
      <c r="D901" s="542" t="s">
        <v>3993</v>
      </c>
      <c r="E901" s="542" t="s">
        <v>856</v>
      </c>
      <c r="F901" s="542" t="s">
        <v>3994</v>
      </c>
      <c r="G901" s="542" t="s">
        <v>2554</v>
      </c>
      <c r="H901" s="426">
        <v>28.411539999999999</v>
      </c>
      <c r="I901" s="425">
        <v>0.89917999999999998</v>
      </c>
      <c r="J901" s="425">
        <v>2.8</v>
      </c>
      <c r="K901" s="425">
        <v>258.03314999999998</v>
      </c>
      <c r="L901" s="542" t="s">
        <v>1025</v>
      </c>
      <c r="M901" s="423" t="s">
        <v>698</v>
      </c>
      <c r="N901" s="206"/>
      <c r="O901" s="546"/>
    </row>
    <row r="902" spans="1:15" ht="15">
      <c r="A902" s="424">
        <v>89243</v>
      </c>
      <c r="B902" t="str">
        <f t="shared" si="30"/>
        <v>SEVROLL tesnenie na sklo 10/6mm</v>
      </c>
      <c r="C902" s="209">
        <f t="shared" si="31"/>
        <v>0.89917999999999998</v>
      </c>
      <c r="D902" s="542" t="s">
        <v>4174</v>
      </c>
      <c r="E902" s="542" t="s">
        <v>857</v>
      </c>
      <c r="F902" s="542" t="s">
        <v>4175</v>
      </c>
      <c r="G902" s="542" t="s">
        <v>2556</v>
      </c>
      <c r="H902" s="426">
        <v>29.023199999999999</v>
      </c>
      <c r="I902" s="425">
        <v>0.89917999999999998</v>
      </c>
      <c r="J902" s="425">
        <v>2.8</v>
      </c>
      <c r="K902" s="425">
        <v>258.03314999999998</v>
      </c>
      <c r="L902" s="542" t="s">
        <v>621</v>
      </c>
      <c r="M902" s="423" t="s">
        <v>698</v>
      </c>
      <c r="N902" s="206"/>
      <c r="O902" s="546"/>
    </row>
    <row r="903" spans="1:15" ht="15">
      <c r="A903" s="424">
        <v>275863</v>
      </c>
      <c r="B903" t="str">
        <f t="shared" si="30"/>
        <v>SEVROLL tlmič dorazu Simple 18 40kg (L+P)</v>
      </c>
      <c r="C903" s="209" t="e">
        <f t="shared" si="31"/>
        <v>#N/A</v>
      </c>
      <c r="D903" s="542" t="s">
        <v>3022</v>
      </c>
      <c r="E903" s="542" t="s">
        <v>2570</v>
      </c>
      <c r="F903" s="542" t="s">
        <v>3023</v>
      </c>
      <c r="G903" s="542" t="s">
        <v>2571</v>
      </c>
      <c r="H903" s="426">
        <v>1E-3</v>
      </c>
      <c r="I903" s="425" t="e">
        <v>#N/A</v>
      </c>
      <c r="J903" s="425">
        <v>1E-3</v>
      </c>
      <c r="K903" s="425">
        <v>1E-3</v>
      </c>
      <c r="L903" s="542" t="s">
        <v>7984</v>
      </c>
      <c r="M903" s="423" t="s">
        <v>699</v>
      </c>
      <c r="N903" s="206"/>
      <c r="O903" s="546"/>
    </row>
    <row r="904" spans="1:15" ht="15">
      <c r="A904" s="424">
        <v>89098</v>
      </c>
      <c r="B904" t="str">
        <f t="shared" si="30"/>
        <v>SEVROLL Tytan úch.lišta 18mm 2,7m oliva</v>
      </c>
      <c r="C904" s="209">
        <f t="shared" si="31"/>
        <v>17.499500000000001</v>
      </c>
      <c r="D904" s="542" t="s">
        <v>4158</v>
      </c>
      <c r="E904" s="542" t="s">
        <v>1113</v>
      </c>
      <c r="F904" s="542" t="s">
        <v>4159</v>
      </c>
      <c r="G904" s="542" t="s">
        <v>2585</v>
      </c>
      <c r="H904" s="426">
        <v>571.86693000000002</v>
      </c>
      <c r="I904" s="425">
        <v>17.499500000000001</v>
      </c>
      <c r="J904" s="425">
        <v>72.504180000000005</v>
      </c>
      <c r="K904" s="425">
        <v>5854.1270800000002</v>
      </c>
      <c r="L904" s="542" t="s">
        <v>621</v>
      </c>
      <c r="M904" s="423" t="s">
        <v>699</v>
      </c>
      <c r="N904" s="206"/>
      <c r="O904" s="546"/>
    </row>
    <row r="905" spans="1:15" ht="15">
      <c r="A905" s="424">
        <v>89099</v>
      </c>
      <c r="B905" t="str">
        <f t="shared" si="30"/>
        <v>SEVROLL Tytan úch.lišta 18mm 2,7m strieborná</v>
      </c>
      <c r="C905" s="209">
        <f t="shared" si="31"/>
        <v>15.932740000000001</v>
      </c>
      <c r="D905" s="542" t="s">
        <v>4156</v>
      </c>
      <c r="E905" s="542" t="s">
        <v>1114</v>
      </c>
      <c r="F905" s="542" t="s">
        <v>4157</v>
      </c>
      <c r="G905" s="542" t="s">
        <v>2586</v>
      </c>
      <c r="H905" s="426">
        <v>571.86760000000004</v>
      </c>
      <c r="I905" s="425">
        <v>15.932740000000001</v>
      </c>
      <c r="J905" s="425">
        <v>72.504180000000005</v>
      </c>
      <c r="K905" s="425">
        <v>5329.9972299999999</v>
      </c>
      <c r="L905" s="542" t="s">
        <v>621</v>
      </c>
      <c r="M905" s="423" t="s">
        <v>699</v>
      </c>
      <c r="N905" s="206"/>
      <c r="O905" s="546"/>
    </row>
    <row r="906" spans="1:15" ht="15">
      <c r="A906" s="424">
        <v>267880</v>
      </c>
      <c r="B906" t="str">
        <f t="shared" si="30"/>
        <v>SEVROLL uholník 17x11mm 3m biela lesk</v>
      </c>
      <c r="C906" s="209">
        <f t="shared" si="31"/>
        <v>6.4839799999999999</v>
      </c>
      <c r="D906" s="542" t="s">
        <v>4146</v>
      </c>
      <c r="E906" s="542" t="s">
        <v>2601</v>
      </c>
      <c r="F906" s="542" t="s">
        <v>4147</v>
      </c>
      <c r="G906" s="542" t="s">
        <v>2602</v>
      </c>
      <c r="H906" s="426">
        <v>170.8032</v>
      </c>
      <c r="I906" s="425">
        <v>6.4839799999999999</v>
      </c>
      <c r="J906" s="425">
        <v>22.13</v>
      </c>
      <c r="K906" s="425">
        <v>1935.2486200000001</v>
      </c>
      <c r="L906" s="542" t="s">
        <v>621</v>
      </c>
      <c r="M906" s="423" t="s">
        <v>699</v>
      </c>
      <c r="N906" s="206"/>
      <c r="O906" s="546"/>
    </row>
    <row r="907" spans="1:15" ht="15">
      <c r="A907" s="424">
        <v>135686</v>
      </c>
      <c r="B907" t="str">
        <f t="shared" si="30"/>
        <v>SEV-Unicomfort II úchytová lišta 2,7m ol</v>
      </c>
      <c r="C907" s="209" t="e">
        <f t="shared" si="31"/>
        <v>#N/A</v>
      </c>
      <c r="D907" s="542" t="s">
        <v>2643</v>
      </c>
      <c r="E907" s="542" t="s">
        <v>1377</v>
      </c>
      <c r="F907" s="542" t="s">
        <v>2641</v>
      </c>
      <c r="G907" s="542" t="s">
        <v>2644</v>
      </c>
      <c r="H907" s="426">
        <v>1E-3</v>
      </c>
      <c r="I907" s="425" t="e">
        <v>#N/A</v>
      </c>
      <c r="J907" s="425">
        <v>1E-3</v>
      </c>
      <c r="K907" s="425">
        <v>1E-3</v>
      </c>
      <c r="L907" s="542" t="s">
        <v>7984</v>
      </c>
      <c r="M907" s="423" t="s">
        <v>699</v>
      </c>
      <c r="N907" s="206"/>
      <c r="O907" s="546"/>
    </row>
    <row r="908" spans="1:15" ht="15">
      <c r="A908" s="424">
        <v>180245</v>
      </c>
      <c r="B908" t="str">
        <f t="shared" si="30"/>
        <v>Vzorkovník úchyt.líšt 2017 šanón PREDAJ</v>
      </c>
      <c r="C908" s="209" t="e">
        <f t="shared" si="31"/>
        <v>#N/A</v>
      </c>
      <c r="D908" s="542" t="s">
        <v>3132</v>
      </c>
      <c r="E908" s="542" t="s">
        <v>2667</v>
      </c>
      <c r="F908" s="542" t="s">
        <v>2669</v>
      </c>
      <c r="G908" s="542" t="s">
        <v>2668</v>
      </c>
      <c r="H908" s="426">
        <v>1E-3</v>
      </c>
      <c r="I908" s="425" t="e">
        <v>#N/A</v>
      </c>
      <c r="J908" s="425">
        <v>1E-3</v>
      </c>
      <c r="K908" s="425">
        <v>1E-3</v>
      </c>
      <c r="L908" s="542" t="s">
        <v>7984</v>
      </c>
      <c r="M908" s="423" t="s">
        <v>699</v>
      </c>
      <c r="N908" s="206"/>
      <c r="O908" s="546"/>
    </row>
    <row r="909" spans="1:15" ht="15">
      <c r="A909" s="427">
        <v>198399</v>
      </c>
      <c r="B909" t="str">
        <f t="shared" si="30"/>
        <v>ASTIN TOWER úchytová lišta 5,4m strieborná</v>
      </c>
      <c r="C909" s="209" t="e">
        <f t="shared" si="31"/>
        <v>#N/A</v>
      </c>
      <c r="D909" s="542" t="s">
        <v>3945</v>
      </c>
      <c r="E909" s="542" t="s">
        <v>980</v>
      </c>
      <c r="F909" s="542" t="s">
        <v>3946</v>
      </c>
      <c r="G909" s="542" t="s">
        <v>981</v>
      </c>
      <c r="H909" s="426">
        <v>1453.662</v>
      </c>
      <c r="I909" s="425" t="e">
        <v>#N/A</v>
      </c>
      <c r="J909" s="425">
        <v>217.86899</v>
      </c>
      <c r="K909" s="425">
        <v>17495.931919999999</v>
      </c>
      <c r="L909" s="542" t="s">
        <v>622</v>
      </c>
      <c r="M909" s="428" t="s">
        <v>699</v>
      </c>
      <c r="N909" s="206"/>
      <c r="O909" s="546"/>
    </row>
    <row r="910" spans="1:15" ht="15">
      <c r="A910" s="427">
        <v>340607</v>
      </c>
      <c r="B910" t="str">
        <f t="shared" si="30"/>
        <v/>
      </c>
      <c r="C910" s="209" t="e">
        <f t="shared" si="31"/>
        <v>#N/A</v>
      </c>
      <c r="D910" s="542" t="s">
        <v>2713</v>
      </c>
      <c r="E910" s="542" t="s">
        <v>2721</v>
      </c>
      <c r="F910" s="542" t="s">
        <v>84</v>
      </c>
      <c r="G910" s="542" t="s">
        <v>84</v>
      </c>
      <c r="H910" s="426">
        <v>77.061599999999999</v>
      </c>
      <c r="I910" s="425" t="e">
        <v>#N/A</v>
      </c>
      <c r="J910" s="425">
        <v>11.54969</v>
      </c>
      <c r="K910" s="425">
        <v>927.49518</v>
      </c>
      <c r="L910" s="542" t="s">
        <v>622</v>
      </c>
      <c r="M910" s="428" t="s">
        <v>700</v>
      </c>
      <c r="N910" s="206"/>
      <c r="O910" s="546"/>
    </row>
    <row r="911" spans="1:15" ht="15">
      <c r="A911" s="427">
        <v>100304</v>
      </c>
      <c r="B911" t="str">
        <f t="shared" si="30"/>
        <v>AST-Joker stoper</v>
      </c>
      <c r="C911" s="209" t="e">
        <f t="shared" si="31"/>
        <v>#N/A</v>
      </c>
      <c r="D911" s="542" t="s">
        <v>945</v>
      </c>
      <c r="E911" s="542" t="s">
        <v>945</v>
      </c>
      <c r="F911" s="542" t="s">
        <v>945</v>
      </c>
      <c r="G911" s="542" t="s">
        <v>945</v>
      </c>
      <c r="H911" s="426">
        <v>1E-3</v>
      </c>
      <c r="I911" s="425" t="e">
        <v>#N/A</v>
      </c>
      <c r="J911" s="425">
        <v>1E-3</v>
      </c>
      <c r="K911" s="425">
        <v>1E-3</v>
      </c>
      <c r="L911" s="542" t="s">
        <v>7984</v>
      </c>
      <c r="M911" s="428" t="s">
        <v>699</v>
      </c>
      <c r="N911" s="206"/>
      <c r="O911" s="546"/>
    </row>
    <row r="912" spans="1:15" ht="15">
      <c r="A912" s="427">
        <v>100300</v>
      </c>
      <c r="B912" t="str">
        <f t="shared" si="30"/>
        <v>AST-Joker spodné koliesko</v>
      </c>
      <c r="C912" s="209" t="e">
        <f t="shared" si="31"/>
        <v>#N/A</v>
      </c>
      <c r="D912" s="542" t="s">
        <v>941</v>
      </c>
      <c r="E912" s="542" t="s">
        <v>942</v>
      </c>
      <c r="F912" s="542" t="s">
        <v>943</v>
      </c>
      <c r="G912" s="542" t="s">
        <v>944</v>
      </c>
      <c r="H912" s="426">
        <v>1E-3</v>
      </c>
      <c r="I912" s="425" t="e">
        <v>#N/A</v>
      </c>
      <c r="J912" s="425">
        <v>1E-3</v>
      </c>
      <c r="K912" s="425">
        <v>1E-3</v>
      </c>
      <c r="L912" s="542" t="s">
        <v>7984</v>
      </c>
      <c r="M912" s="428" t="s">
        <v>699</v>
      </c>
      <c r="N912" s="206"/>
      <c r="O912" s="546"/>
    </row>
    <row r="913" spans="1:15" ht="15">
      <c r="A913" s="427">
        <v>98013</v>
      </c>
      <c r="B913" t="str">
        <f t="shared" si="30"/>
        <v>JOKER-UHOLNÍK 3,6M HLINÍK (22/1)</v>
      </c>
      <c r="C913" s="209">
        <f t="shared" si="31"/>
        <v>11.23246</v>
      </c>
      <c r="D913" s="542" t="s">
        <v>4689</v>
      </c>
      <c r="E913" s="542" t="s">
        <v>963</v>
      </c>
      <c r="F913" s="542" t="s">
        <v>642</v>
      </c>
      <c r="G913" s="542" t="s">
        <v>964</v>
      </c>
      <c r="H913" s="426">
        <v>282.89280000000002</v>
      </c>
      <c r="I913" s="425">
        <v>11.23246</v>
      </c>
      <c r="J913" s="425">
        <v>42.398829999999997</v>
      </c>
      <c r="K913" s="425">
        <v>3418.93923</v>
      </c>
      <c r="L913" s="542" t="s">
        <v>621</v>
      </c>
      <c r="M913" s="428" t="s">
        <v>699</v>
      </c>
      <c r="N913" s="206"/>
      <c r="O913" s="546"/>
    </row>
    <row r="914" spans="1:15" ht="15">
      <c r="A914" s="427">
        <v>98012</v>
      </c>
      <c r="B914" t="str">
        <f t="shared" si="30"/>
        <v>ASTIN UHOLNÍK 2,7M str. (22/1)</v>
      </c>
      <c r="C914" s="209">
        <f t="shared" si="31"/>
        <v>8.5328199999999992</v>
      </c>
      <c r="D914" s="542" t="s">
        <v>4690</v>
      </c>
      <c r="E914" s="542" t="s">
        <v>961</v>
      </c>
      <c r="F914" s="542" t="s">
        <v>4691</v>
      </c>
      <c r="G914" s="542" t="s">
        <v>962</v>
      </c>
      <c r="H914" s="426">
        <v>219.28639999999999</v>
      </c>
      <c r="I914" s="425">
        <v>8.5328199999999992</v>
      </c>
      <c r="J914" s="425">
        <v>32.199109999999997</v>
      </c>
      <c r="K914" s="425">
        <v>2596.45856</v>
      </c>
      <c r="L914" s="542" t="s">
        <v>621</v>
      </c>
      <c r="M914" s="428" t="s">
        <v>699</v>
      </c>
      <c r="N914" s="206"/>
      <c r="O914" s="546"/>
    </row>
    <row r="915" spans="1:15" ht="15">
      <c r="A915" s="427">
        <v>98011</v>
      </c>
      <c r="B915" t="str">
        <f t="shared" si="30"/>
        <v>JOKER-UHOLNÍK 1,8M HLINÍK (22/1)</v>
      </c>
      <c r="C915" s="209">
        <f t="shared" si="31"/>
        <v>5.4474999999999998</v>
      </c>
      <c r="D915" s="542" t="s">
        <v>4692</v>
      </c>
      <c r="E915" s="542" t="s">
        <v>959</v>
      </c>
      <c r="F915" s="542" t="s">
        <v>641</v>
      </c>
      <c r="G915" s="542" t="s">
        <v>960</v>
      </c>
      <c r="H915" s="426">
        <v>153.9008</v>
      </c>
      <c r="I915" s="425">
        <v>5.4474999999999998</v>
      </c>
      <c r="J915" s="425">
        <v>20.49943</v>
      </c>
      <c r="K915" s="425">
        <v>1653.02487</v>
      </c>
      <c r="L915" s="542" t="s">
        <v>621</v>
      </c>
      <c r="M915" s="428" t="s">
        <v>699</v>
      </c>
      <c r="N915" s="206"/>
      <c r="O915" s="546"/>
    </row>
    <row r="916" spans="1:15" ht="15">
      <c r="A916" s="427">
        <v>98015</v>
      </c>
      <c r="B916" t="str">
        <f t="shared" si="30"/>
        <v>ASTIN spojovací H08 profil 3m strieborná</v>
      </c>
      <c r="C916" s="209">
        <f t="shared" si="31"/>
        <v>10.17736</v>
      </c>
      <c r="D916" s="542" t="s">
        <v>4693</v>
      </c>
      <c r="E916" s="542" t="s">
        <v>1299</v>
      </c>
      <c r="F916" s="542" t="s">
        <v>4694</v>
      </c>
      <c r="G916" s="542" t="s">
        <v>965</v>
      </c>
      <c r="H916" s="426">
        <v>244.1952</v>
      </c>
      <c r="I916" s="425">
        <v>10.17736</v>
      </c>
      <c r="J916" s="425">
        <v>33.770000000000003</v>
      </c>
      <c r="K916" s="425">
        <v>2951.2541500000002</v>
      </c>
      <c r="L916" s="542" t="s">
        <v>623</v>
      </c>
      <c r="M916" s="428" t="s">
        <v>699</v>
      </c>
      <c r="N916" s="206"/>
      <c r="O916" s="546"/>
    </row>
    <row r="917" spans="1:15" ht="15">
      <c r="A917" s="427">
        <v>98009</v>
      </c>
      <c r="B917" t="str">
        <f t="shared" si="30"/>
        <v>JOKER-SPODNÝ PROFIL 3,6M HLINÍK (22/1)</v>
      </c>
      <c r="C917" s="209">
        <f t="shared" si="31"/>
        <v>21.621289999999998</v>
      </c>
      <c r="D917" s="542" t="s">
        <v>4695</v>
      </c>
      <c r="E917" s="542" t="s">
        <v>957</v>
      </c>
      <c r="F917" s="542" t="s">
        <v>640</v>
      </c>
      <c r="G917" s="542" t="s">
        <v>958</v>
      </c>
      <c r="H917" s="426">
        <v>598.47839999999997</v>
      </c>
      <c r="I917" s="425">
        <v>21.621289999999998</v>
      </c>
      <c r="J917" s="425">
        <v>89.697509999999994</v>
      </c>
      <c r="K917" s="425">
        <v>7232.99172</v>
      </c>
      <c r="L917" s="542" t="s">
        <v>621</v>
      </c>
      <c r="M917" s="428" t="s">
        <v>699</v>
      </c>
      <c r="N917" s="206"/>
      <c r="O917" s="546"/>
    </row>
    <row r="918" spans="1:15" ht="15">
      <c r="A918" s="427">
        <v>98008</v>
      </c>
      <c r="B918" t="str">
        <f t="shared" si="30"/>
        <v>JOKER-SPODNÝ PROFIL 2,7M HLINÍK (22/1)</v>
      </c>
      <c r="C918" s="209">
        <f t="shared" si="31"/>
        <v>18.29494</v>
      </c>
      <c r="D918" s="542" t="s">
        <v>4696</v>
      </c>
      <c r="E918" s="542" t="s">
        <v>955</v>
      </c>
      <c r="F918" s="542" t="s">
        <v>639</v>
      </c>
      <c r="G918" s="542" t="s">
        <v>956</v>
      </c>
      <c r="H918" s="426">
        <v>506.40480000000002</v>
      </c>
      <c r="I918" s="425">
        <v>18.29494</v>
      </c>
      <c r="J918" s="425">
        <v>75.897900000000007</v>
      </c>
      <c r="K918" s="425">
        <v>6120.2237699999996</v>
      </c>
      <c r="L918" s="542" t="s">
        <v>621</v>
      </c>
      <c r="M918" s="428" t="s">
        <v>699</v>
      </c>
      <c r="N918" s="206"/>
      <c r="O918" s="546"/>
    </row>
    <row r="919" spans="1:15" ht="15">
      <c r="A919" s="427">
        <v>98007</v>
      </c>
      <c r="B919" t="str">
        <f t="shared" si="30"/>
        <v>JOKER-SPODNÝ PROFIL 1,8M HLINÍK (22/1)</v>
      </c>
      <c r="C919" s="209">
        <f t="shared" si="31"/>
        <v>10.653969999999999</v>
      </c>
      <c r="D919" s="542" t="s">
        <v>4697</v>
      </c>
      <c r="E919" s="542" t="s">
        <v>953</v>
      </c>
      <c r="F919" s="542" t="s">
        <v>638</v>
      </c>
      <c r="G919" s="542" t="s">
        <v>954</v>
      </c>
      <c r="H919" s="426">
        <v>300.71260000000001</v>
      </c>
      <c r="I919" s="425">
        <v>10.653969999999999</v>
      </c>
      <c r="J919" s="425">
        <v>44.198790000000002</v>
      </c>
      <c r="K919" s="425">
        <v>3564.0828700000002</v>
      </c>
      <c r="L919" s="542" t="s">
        <v>621</v>
      </c>
      <c r="M919" s="428" t="s">
        <v>699</v>
      </c>
      <c r="N919" s="206"/>
      <c r="O919" s="546"/>
    </row>
    <row r="920" spans="1:15" ht="15">
      <c r="A920" s="427">
        <v>98002</v>
      </c>
      <c r="B920" t="str">
        <f t="shared" si="30"/>
        <v>ASTIN Orient úch.lišta 2,7m str. (32/1)</v>
      </c>
      <c r="C920" s="209">
        <f t="shared" si="31"/>
        <v>20.199149999999999</v>
      </c>
      <c r="D920" s="542" t="s">
        <v>4698</v>
      </c>
      <c r="E920" s="542" t="s">
        <v>1012</v>
      </c>
      <c r="F920" s="542" t="s">
        <v>4699</v>
      </c>
      <c r="G920" s="542" t="s">
        <v>946</v>
      </c>
      <c r="H920" s="426">
        <v>518.38660000000004</v>
      </c>
      <c r="I920" s="425">
        <v>20.199149999999999</v>
      </c>
      <c r="J920" s="425">
        <v>76.197890000000001</v>
      </c>
      <c r="K920" s="425">
        <v>6144.4143599999998</v>
      </c>
      <c r="L920" s="542" t="s">
        <v>621</v>
      </c>
      <c r="M920" s="428" t="s">
        <v>699</v>
      </c>
      <c r="N920" s="206"/>
      <c r="O920" s="546"/>
    </row>
    <row r="921" spans="1:15" ht="15">
      <c r="A921" s="427">
        <v>98005</v>
      </c>
      <c r="B921" t="str">
        <f t="shared" si="30"/>
        <v>JOKER-HORNÝ PROFIL 3,6M HLINÍK (32/1)</v>
      </c>
      <c r="C921" s="209">
        <f t="shared" si="31"/>
        <v>43.748759999999997</v>
      </c>
      <c r="D921" s="542" t="s">
        <v>4704</v>
      </c>
      <c r="E921" s="542" t="s">
        <v>951</v>
      </c>
      <c r="F921" s="542" t="s">
        <v>637</v>
      </c>
      <c r="G921" s="542" t="s">
        <v>952</v>
      </c>
      <c r="H921" s="426">
        <v>1123.0365999999999</v>
      </c>
      <c r="I921" s="425">
        <v>43.748759999999997</v>
      </c>
      <c r="J921" s="425">
        <v>164.99543</v>
      </c>
      <c r="K921" s="425">
        <v>13304.83426</v>
      </c>
      <c r="L921" s="542" t="s">
        <v>621</v>
      </c>
      <c r="M921" s="428" t="s">
        <v>699</v>
      </c>
      <c r="N921" s="206"/>
      <c r="O921" s="546"/>
    </row>
    <row r="922" spans="1:15" ht="15">
      <c r="A922" s="427">
        <v>98004</v>
      </c>
      <c r="B922" t="str">
        <f t="shared" si="30"/>
        <v>JOKER-HORNÝ PROFIL 2,7M HLINÍK (32/1)</v>
      </c>
      <c r="C922" s="209">
        <f t="shared" si="31"/>
        <v>35.770339999999997</v>
      </c>
      <c r="D922" s="542" t="s">
        <v>4705</v>
      </c>
      <c r="E922" s="542" t="s">
        <v>949</v>
      </c>
      <c r="F922" s="542" t="s">
        <v>636</v>
      </c>
      <c r="G922" s="542" t="s">
        <v>950</v>
      </c>
      <c r="H922" s="426">
        <v>1022.484</v>
      </c>
      <c r="I922" s="425">
        <v>35.770339999999997</v>
      </c>
      <c r="J922" s="425">
        <v>134.89626999999999</v>
      </c>
      <c r="K922" s="425">
        <v>10877.70995</v>
      </c>
      <c r="L922" s="542" t="s">
        <v>621</v>
      </c>
      <c r="M922" s="428" t="s">
        <v>699</v>
      </c>
      <c r="N922" s="206"/>
      <c r="O922" s="546"/>
    </row>
    <row r="923" spans="1:15" ht="15">
      <c r="A923" s="427">
        <v>98003</v>
      </c>
      <c r="B923" t="str">
        <f t="shared" si="30"/>
        <v>JOKER-HORNÝ PROFIL 1,8M HLINÍK (32/1)</v>
      </c>
      <c r="C923" s="209">
        <f t="shared" si="31"/>
        <v>20.72944</v>
      </c>
      <c r="D923" s="542" t="s">
        <v>4706</v>
      </c>
      <c r="E923" s="542" t="s">
        <v>947</v>
      </c>
      <c r="F923" s="542" t="s">
        <v>635</v>
      </c>
      <c r="G923" s="542" t="s">
        <v>948</v>
      </c>
      <c r="H923" s="426">
        <v>549.60599999999999</v>
      </c>
      <c r="I923" s="425">
        <v>20.72944</v>
      </c>
      <c r="J923" s="425">
        <v>78.197839999999999</v>
      </c>
      <c r="K923" s="425">
        <v>6305.6850800000002</v>
      </c>
      <c r="L923" s="542" t="s">
        <v>621</v>
      </c>
      <c r="M923" s="428" t="s">
        <v>699</v>
      </c>
      <c r="N923" s="206"/>
      <c r="O923" s="546"/>
    </row>
    <row r="924" spans="1:15" ht="15">
      <c r="A924" s="427">
        <v>98001</v>
      </c>
      <c r="B924" t="str">
        <f t="shared" ref="B924:B979" si="32">IF($A$2=1,D924,IF($A$2=2,F924,IF($A$2=3,G924,IF($A$2=4,E924,"zadat jazyk"))))</f>
        <v>ASTIN Elegant úch.lišta 2,7m str. (22/1)</v>
      </c>
      <c r="C924" s="209">
        <f t="shared" si="31"/>
        <v>20.126840000000001</v>
      </c>
      <c r="D924" s="542" t="s">
        <v>4709</v>
      </c>
      <c r="E924" s="542" t="s">
        <v>1011</v>
      </c>
      <c r="F924" s="542" t="s">
        <v>4710</v>
      </c>
      <c r="G924" s="542" t="s">
        <v>2729</v>
      </c>
      <c r="H924" s="426">
        <v>506.40480000000002</v>
      </c>
      <c r="I924" s="425">
        <v>20.126840000000001</v>
      </c>
      <c r="J924" s="425">
        <v>75.897900000000007</v>
      </c>
      <c r="K924" s="425">
        <v>6120.2237699999996</v>
      </c>
      <c r="L924" s="542" t="s">
        <v>621</v>
      </c>
      <c r="M924" s="428" t="s">
        <v>699</v>
      </c>
      <c r="N924" s="206"/>
      <c r="O924" s="546"/>
    </row>
    <row r="925" spans="1:15" ht="15">
      <c r="A925" s="429">
        <v>279084</v>
      </c>
      <c r="B925" t="str">
        <f t="shared" si="32"/>
        <v>SEVROLL vedenie INTER S 35kg do stropu 6m</v>
      </c>
      <c r="C925" s="209">
        <f t="shared" si="31"/>
        <v>34.541029999999999</v>
      </c>
      <c r="D925" s="542" t="s">
        <v>3157</v>
      </c>
      <c r="E925" s="542" t="s">
        <v>2734</v>
      </c>
      <c r="F925" s="542" t="s">
        <v>3158</v>
      </c>
      <c r="G925" s="542" t="s">
        <v>2787</v>
      </c>
      <c r="H925" s="426">
        <v>864.99144000000001</v>
      </c>
      <c r="I925" s="425">
        <v>34.541029999999999</v>
      </c>
      <c r="J925" s="425">
        <v>109.14</v>
      </c>
      <c r="K925" s="425">
        <v>9724.6243099999992</v>
      </c>
      <c r="L925" s="542" t="s">
        <v>622</v>
      </c>
      <c r="M925" s="430" t="s">
        <v>699</v>
      </c>
      <c r="N925" s="206"/>
      <c r="O925" s="546"/>
    </row>
    <row r="926" spans="1:15" ht="15">
      <c r="A926" s="429">
        <v>279083</v>
      </c>
      <c r="B926" t="str">
        <f t="shared" si="32"/>
        <v>SEVROLL vedenie INTER S 35kg do stropu 3m</v>
      </c>
      <c r="C926" s="209">
        <f t="shared" si="31"/>
        <v>17.28257</v>
      </c>
      <c r="D926" s="542" t="s">
        <v>3159</v>
      </c>
      <c r="E926" s="542" t="s">
        <v>2735</v>
      </c>
      <c r="F926" s="542" t="s">
        <v>3160</v>
      </c>
      <c r="G926" s="542" t="s">
        <v>2788</v>
      </c>
      <c r="H926" s="426">
        <v>433.21296000000001</v>
      </c>
      <c r="I926" s="425">
        <v>17.28257</v>
      </c>
      <c r="J926" s="425">
        <v>54.56</v>
      </c>
      <c r="K926" s="425">
        <v>4870.3756899999998</v>
      </c>
      <c r="L926" s="542" t="s">
        <v>622</v>
      </c>
      <c r="M926" s="430" t="s">
        <v>699</v>
      </c>
      <c r="N926" s="206"/>
      <c r="O926" s="546"/>
    </row>
    <row r="927" spans="1:15" ht="15">
      <c r="A927" s="429">
        <v>279087</v>
      </c>
      <c r="B927" t="str">
        <f t="shared" si="32"/>
        <v>SEVROLL vedenie INTER B 35kg na stenu 6m</v>
      </c>
      <c r="C927" s="209">
        <f t="shared" si="31"/>
        <v>34.541029999999999</v>
      </c>
      <c r="D927" s="542" t="s">
        <v>3161</v>
      </c>
      <c r="E927" s="542" t="s">
        <v>2736</v>
      </c>
      <c r="F927" s="542" t="s">
        <v>3162</v>
      </c>
      <c r="G927" s="542" t="s">
        <v>2789</v>
      </c>
      <c r="H927" s="426">
        <v>864.99144000000001</v>
      </c>
      <c r="I927" s="425">
        <v>34.541029999999999</v>
      </c>
      <c r="J927" s="425">
        <v>109.18</v>
      </c>
      <c r="K927" s="425">
        <v>9724.6243099999992</v>
      </c>
      <c r="L927" s="542" t="s">
        <v>622</v>
      </c>
      <c r="M927" s="430" t="s">
        <v>699</v>
      </c>
      <c r="N927" s="206"/>
      <c r="O927" s="546"/>
    </row>
    <row r="928" spans="1:15" ht="15">
      <c r="A928" s="429">
        <v>279086</v>
      </c>
      <c r="B928" t="str">
        <f t="shared" si="32"/>
        <v>SEVROLL vedenie INTER B 35kg do stropu 3m</v>
      </c>
      <c r="C928" s="209">
        <f t="shared" si="31"/>
        <v>17.28257</v>
      </c>
      <c r="D928" s="542" t="s">
        <v>3163</v>
      </c>
      <c r="E928" s="542" t="s">
        <v>2737</v>
      </c>
      <c r="F928" s="542" t="s">
        <v>3164</v>
      </c>
      <c r="G928" s="542" t="s">
        <v>2790</v>
      </c>
      <c r="H928" s="426">
        <v>433.21296000000001</v>
      </c>
      <c r="I928" s="425">
        <v>17.28257</v>
      </c>
      <c r="J928" s="425">
        <v>54.6</v>
      </c>
      <c r="K928" s="425">
        <v>4870.3756899999998</v>
      </c>
      <c r="L928" s="542" t="s">
        <v>622</v>
      </c>
      <c r="M928" s="430" t="s">
        <v>699</v>
      </c>
      <c r="N928" s="206"/>
      <c r="O928" s="546"/>
    </row>
    <row r="929" spans="1:15" ht="15">
      <c r="A929" s="429">
        <v>308699</v>
      </c>
      <c r="B929" t="str">
        <f t="shared" si="32"/>
        <v>SEVROLL vedenie Galaxy S 50kg do stropu 4m</v>
      </c>
      <c r="C929" s="209">
        <f t="shared" si="31"/>
        <v>26.08053</v>
      </c>
      <c r="D929" s="542" t="s">
        <v>3165</v>
      </c>
      <c r="E929" s="542" t="s">
        <v>2738</v>
      </c>
      <c r="F929" s="542" t="s">
        <v>3166</v>
      </c>
      <c r="G929" s="542" t="s">
        <v>2791</v>
      </c>
      <c r="H929" s="426">
        <v>641.9298</v>
      </c>
      <c r="I929" s="425">
        <v>26.08053</v>
      </c>
      <c r="J929" s="425">
        <v>80.94</v>
      </c>
      <c r="K929" s="425">
        <v>7216.8646399999998</v>
      </c>
      <c r="L929" s="542" t="s">
        <v>622</v>
      </c>
      <c r="M929" s="430" t="s">
        <v>699</v>
      </c>
      <c r="N929" s="206"/>
      <c r="O929" s="546"/>
    </row>
    <row r="930" spans="1:15" ht="15">
      <c r="A930" s="429">
        <v>308698</v>
      </c>
      <c r="B930" t="str">
        <f t="shared" si="32"/>
        <v>SEVROLL vedenie Galaxy S 50kg do stropu 2,5m</v>
      </c>
      <c r="C930" s="209">
        <f t="shared" si="31"/>
        <v>0</v>
      </c>
      <c r="D930" s="542" t="s">
        <v>3167</v>
      </c>
      <c r="E930" s="542" t="s">
        <v>2739</v>
      </c>
      <c r="F930" s="542" t="s">
        <v>3168</v>
      </c>
      <c r="G930" s="542" t="s">
        <v>2792</v>
      </c>
      <c r="H930" s="426">
        <v>0</v>
      </c>
      <c r="I930" s="425">
        <v>0</v>
      </c>
      <c r="J930" s="425">
        <v>0</v>
      </c>
      <c r="K930" s="425">
        <v>0</v>
      </c>
      <c r="L930" s="542" t="s">
        <v>622</v>
      </c>
      <c r="M930" s="430" t="s">
        <v>699</v>
      </c>
      <c r="N930" s="206"/>
      <c r="O930" s="546"/>
    </row>
    <row r="931" spans="1:15" ht="15">
      <c r="A931" s="429">
        <v>308697</v>
      </c>
      <c r="B931" t="str">
        <f t="shared" si="32"/>
        <v>SEVROLL vedenie Galaxy S 50kg do stropu 1,5m</v>
      </c>
      <c r="C931" s="209">
        <f t="shared" si="31"/>
        <v>9.7862200000000001</v>
      </c>
      <c r="D931" s="542" t="s">
        <v>3169</v>
      </c>
      <c r="E931" s="542" t="s">
        <v>2740</v>
      </c>
      <c r="F931" s="542" t="s">
        <v>3170</v>
      </c>
      <c r="G931" s="542" t="s">
        <v>2793</v>
      </c>
      <c r="H931" s="426">
        <v>240.99263999999999</v>
      </c>
      <c r="I931" s="425">
        <v>9.7862200000000001</v>
      </c>
      <c r="J931" s="425">
        <v>30.41</v>
      </c>
      <c r="K931" s="425">
        <v>2709.3480800000002</v>
      </c>
      <c r="L931" s="542" t="s">
        <v>622</v>
      </c>
      <c r="M931" s="430" t="s">
        <v>699</v>
      </c>
      <c r="N931" s="206"/>
      <c r="O931" s="546"/>
    </row>
    <row r="932" spans="1:15" ht="15">
      <c r="A932" s="429">
        <v>308696</v>
      </c>
      <c r="B932" t="str">
        <f t="shared" si="32"/>
        <v>SEVROLL vedenie Galaxy B 50kg na stenu 4m</v>
      </c>
      <c r="C932" s="209">
        <f t="shared" si="31"/>
        <v>27.767810000000001</v>
      </c>
      <c r="D932" s="542" t="s">
        <v>3171</v>
      </c>
      <c r="E932" s="542" t="s">
        <v>2741</v>
      </c>
      <c r="F932" s="542" t="s">
        <v>3172</v>
      </c>
      <c r="G932" s="542" t="s">
        <v>2794</v>
      </c>
      <c r="H932" s="426">
        <v>683.52972</v>
      </c>
      <c r="I932" s="425">
        <v>27.767810000000001</v>
      </c>
      <c r="J932" s="425">
        <v>80.94</v>
      </c>
      <c r="K932" s="425">
        <v>7684.54972</v>
      </c>
      <c r="L932" s="542" t="s">
        <v>622</v>
      </c>
      <c r="M932" s="430" t="s">
        <v>699</v>
      </c>
      <c r="N932" s="206"/>
      <c r="O932" s="546"/>
    </row>
    <row r="933" spans="1:15" ht="15">
      <c r="A933" s="429">
        <v>308695</v>
      </c>
      <c r="B933" t="str">
        <f t="shared" si="32"/>
        <v>SEVROLL vedenie Galaxy B 50kg na stenu 2,5m</v>
      </c>
      <c r="C933" s="209">
        <f t="shared" si="31"/>
        <v>0</v>
      </c>
      <c r="D933" s="542" t="s">
        <v>3173</v>
      </c>
      <c r="E933" s="542" t="s">
        <v>2742</v>
      </c>
      <c r="F933" s="542" t="s">
        <v>3174</v>
      </c>
      <c r="G933" s="542" t="s">
        <v>2795</v>
      </c>
      <c r="H933" s="426">
        <v>0</v>
      </c>
      <c r="I933" s="425">
        <v>0</v>
      </c>
      <c r="J933" s="425">
        <v>0</v>
      </c>
      <c r="K933" s="425">
        <v>0</v>
      </c>
      <c r="L933" s="542" t="s">
        <v>622</v>
      </c>
      <c r="M933" s="430" t="s">
        <v>699</v>
      </c>
      <c r="N933" s="206"/>
      <c r="O933" s="546"/>
    </row>
    <row r="934" spans="1:15" ht="15">
      <c r="A934" s="429">
        <v>96400</v>
      </c>
      <c r="B934" t="str">
        <f t="shared" si="32"/>
        <v>SEVROLL Exclusive horné vedenie 1,8m str.</v>
      </c>
      <c r="C934" s="209">
        <f t="shared" si="31"/>
        <v>20.440190000000001</v>
      </c>
      <c r="D934" s="542" t="s">
        <v>3792</v>
      </c>
      <c r="E934" s="542" t="s">
        <v>1073</v>
      </c>
      <c r="F934" s="542" t="s">
        <v>3793</v>
      </c>
      <c r="G934" s="542" t="s">
        <v>2845</v>
      </c>
      <c r="H934" s="426">
        <v>593.15747999999996</v>
      </c>
      <c r="I934" s="425">
        <v>20.440190000000001</v>
      </c>
      <c r="J934" s="425">
        <v>69.55</v>
      </c>
      <c r="K934" s="425">
        <v>6668.5442000000003</v>
      </c>
      <c r="L934" s="542" t="s">
        <v>622</v>
      </c>
      <c r="M934" s="430" t="s">
        <v>699</v>
      </c>
      <c r="N934" s="206"/>
      <c r="O934" s="546"/>
    </row>
    <row r="935" spans="1:15" ht="15">
      <c r="A935" s="429">
        <v>279082</v>
      </c>
      <c r="B935" t="str">
        <f t="shared" si="32"/>
        <v>SEVROLL vedenie INTER S 35kg do stropu 2m</v>
      </c>
      <c r="C935" s="209">
        <f t="shared" si="31"/>
        <v>11.49761</v>
      </c>
      <c r="D935" s="542" t="s">
        <v>4097</v>
      </c>
      <c r="E935" s="542" t="s">
        <v>2772</v>
      </c>
      <c r="F935" s="542" t="s">
        <v>4098</v>
      </c>
      <c r="G935" s="542" t="s">
        <v>2854</v>
      </c>
      <c r="H935" s="426">
        <v>288.33048000000002</v>
      </c>
      <c r="I935" s="425">
        <v>11.49761</v>
      </c>
      <c r="J935" s="425">
        <v>36.39</v>
      </c>
      <c r="K935" s="425">
        <v>3241.54144</v>
      </c>
      <c r="L935" s="542" t="s">
        <v>621</v>
      </c>
      <c r="M935" s="430" t="s">
        <v>699</v>
      </c>
      <c r="N935" s="206"/>
      <c r="O935" s="546"/>
    </row>
    <row r="936" spans="1:15" ht="15">
      <c r="A936" s="429">
        <v>284589</v>
      </c>
      <c r="B936" t="str">
        <f t="shared" si="32"/>
        <v>SEVROLL vedenie INTER S 35kg do stropu 1,5m</v>
      </c>
      <c r="C936" s="209">
        <f t="shared" si="31"/>
        <v>8.5810200000000005</v>
      </c>
      <c r="D936" s="542" t="s">
        <v>4099</v>
      </c>
      <c r="E936" s="542" t="s">
        <v>2773</v>
      </c>
      <c r="F936" s="542" t="s">
        <v>4100</v>
      </c>
      <c r="G936" s="542" t="s">
        <v>2855</v>
      </c>
      <c r="H936" s="426">
        <v>215.172</v>
      </c>
      <c r="I936" s="425">
        <v>8.5810200000000005</v>
      </c>
      <c r="J936" s="425">
        <v>27.28</v>
      </c>
      <c r="K936" s="425">
        <v>2419.06077</v>
      </c>
      <c r="L936" s="542" t="s">
        <v>621</v>
      </c>
      <c r="M936" s="430" t="s">
        <v>699</v>
      </c>
      <c r="N936" s="206"/>
      <c r="O936" s="546"/>
    </row>
    <row r="937" spans="1:15" ht="15">
      <c r="A937" s="429">
        <v>279085</v>
      </c>
      <c r="B937" t="str">
        <f t="shared" si="32"/>
        <v>SEVROLL vedenie INTER B 35kg do stropu 2m</v>
      </c>
      <c r="C937" s="209">
        <f t="shared" si="31"/>
        <v>11.49761</v>
      </c>
      <c r="D937" s="542" t="s">
        <v>4101</v>
      </c>
      <c r="E937" s="542" t="s">
        <v>2774</v>
      </c>
      <c r="F937" s="542" t="s">
        <v>4102</v>
      </c>
      <c r="G937" s="542" t="s">
        <v>2856</v>
      </c>
      <c r="H937" s="426">
        <v>288.33048000000002</v>
      </c>
      <c r="I937" s="425">
        <v>11.49761</v>
      </c>
      <c r="J937" s="425">
        <v>36.39</v>
      </c>
      <c r="K937" s="425">
        <v>3241.54144</v>
      </c>
      <c r="L937" s="542" t="s">
        <v>621</v>
      </c>
      <c r="M937" s="430" t="s">
        <v>699</v>
      </c>
      <c r="N937" s="206"/>
      <c r="O937" s="546"/>
    </row>
    <row r="938" spans="1:15" ht="15">
      <c r="A938" s="429">
        <v>284590</v>
      </c>
      <c r="B938" t="str">
        <f t="shared" si="32"/>
        <v>SEVROLL vedenie INTER B 35kg na stenu 1,5m</v>
      </c>
      <c r="C938" s="209">
        <f t="shared" si="31"/>
        <v>8.5810200000000005</v>
      </c>
      <c r="D938" s="542" t="s">
        <v>4103</v>
      </c>
      <c r="E938" s="542" t="s">
        <v>2775</v>
      </c>
      <c r="F938" s="542" t="s">
        <v>4104</v>
      </c>
      <c r="G938" s="542" t="s">
        <v>2857</v>
      </c>
      <c r="H938" s="426">
        <v>215.172</v>
      </c>
      <c r="I938" s="425">
        <v>8.5810200000000005</v>
      </c>
      <c r="J938" s="425">
        <v>27.28</v>
      </c>
      <c r="K938" s="425">
        <v>2419.06077</v>
      </c>
      <c r="L938" s="542" t="s">
        <v>621</v>
      </c>
      <c r="M938" s="430" t="s">
        <v>699</v>
      </c>
      <c r="N938" s="206"/>
      <c r="O938" s="546"/>
    </row>
    <row r="939" spans="1:15" ht="15">
      <c r="A939" s="429">
        <v>279090</v>
      </c>
      <c r="B939" t="str">
        <f t="shared" si="32"/>
        <v>SEVROLL vedenie Galaxy S 50kg do stropu 6m</v>
      </c>
      <c r="C939" s="209">
        <f t="shared" si="31"/>
        <v>39.12079</v>
      </c>
      <c r="D939" s="542" t="s">
        <v>4105</v>
      </c>
      <c r="E939" s="542" t="s">
        <v>2776</v>
      </c>
      <c r="F939" s="542" t="s">
        <v>4106</v>
      </c>
      <c r="G939" s="542" t="s">
        <v>2858</v>
      </c>
      <c r="H939" s="426">
        <v>962.53607999999997</v>
      </c>
      <c r="I939" s="425">
        <v>39.12079</v>
      </c>
      <c r="J939" s="425">
        <v>121.49</v>
      </c>
      <c r="K939" s="425">
        <v>10821.2652</v>
      </c>
      <c r="L939" s="542" t="s">
        <v>621</v>
      </c>
      <c r="M939" s="430" t="s">
        <v>699</v>
      </c>
      <c r="N939" s="206"/>
      <c r="O939" s="546"/>
    </row>
    <row r="940" spans="1:15" ht="15">
      <c r="A940" s="429">
        <v>279089</v>
      </c>
      <c r="B940" t="str">
        <f t="shared" si="32"/>
        <v>SEV vedenie Galaxy S 50kg do stropu 3m</v>
      </c>
      <c r="C940" s="209">
        <f t="shared" si="31"/>
        <v>19.596550000000001</v>
      </c>
      <c r="D940" s="542" t="s">
        <v>4107</v>
      </c>
      <c r="E940" s="542" t="s">
        <v>2777</v>
      </c>
      <c r="F940" s="542" t="s">
        <v>2871</v>
      </c>
      <c r="G940" s="542" t="s">
        <v>2859</v>
      </c>
      <c r="H940" s="426">
        <v>481.98527999999999</v>
      </c>
      <c r="I940" s="425">
        <v>19.596550000000001</v>
      </c>
      <c r="J940" s="425">
        <v>60.76</v>
      </c>
      <c r="K940" s="425">
        <v>5418.6961300000003</v>
      </c>
      <c r="L940" s="542" t="s">
        <v>621</v>
      </c>
      <c r="M940" s="430" t="s">
        <v>699</v>
      </c>
      <c r="N940" s="206"/>
      <c r="O940" s="546"/>
    </row>
    <row r="941" spans="1:15" ht="15">
      <c r="A941" s="429">
        <v>279088</v>
      </c>
      <c r="B941" t="str">
        <f t="shared" si="32"/>
        <v>SEVROLL vedenie Galaxy S 50kg do stropu 2m</v>
      </c>
      <c r="C941" s="209">
        <f t="shared" si="31"/>
        <v>13.04026</v>
      </c>
      <c r="D941" s="542" t="s">
        <v>4108</v>
      </c>
      <c r="E941" s="542" t="s">
        <v>2778</v>
      </c>
      <c r="F941" s="542" t="s">
        <v>4109</v>
      </c>
      <c r="G941" s="542" t="s">
        <v>2860</v>
      </c>
      <c r="H941" s="426">
        <v>320.60628000000003</v>
      </c>
      <c r="I941" s="425">
        <v>13.04026</v>
      </c>
      <c r="J941" s="425">
        <v>40.479999999999997</v>
      </c>
      <c r="K941" s="425">
        <v>3604.40056</v>
      </c>
      <c r="L941" s="542" t="s">
        <v>621</v>
      </c>
      <c r="M941" s="430" t="s">
        <v>699</v>
      </c>
      <c r="N941" s="206"/>
      <c r="O941" s="546"/>
    </row>
    <row r="942" spans="1:15" ht="15">
      <c r="A942" s="429">
        <v>279093</v>
      </c>
      <c r="B942" t="str">
        <f t="shared" si="32"/>
        <v>SEVROLL vedenie Galaxy B 50kg na stenu 6m</v>
      </c>
      <c r="C942" s="209">
        <f t="shared" si="31"/>
        <v>41.627609999999997</v>
      </c>
      <c r="D942" s="542" t="s">
        <v>4110</v>
      </c>
      <c r="E942" s="542" t="s">
        <v>2779</v>
      </c>
      <c r="F942" s="542" t="s">
        <v>4111</v>
      </c>
      <c r="G942" s="542" t="s">
        <v>2861</v>
      </c>
      <c r="H942" s="426">
        <v>1024.2187200000001</v>
      </c>
      <c r="I942" s="425">
        <v>41.627609999999997</v>
      </c>
      <c r="J942" s="425">
        <v>121.49</v>
      </c>
      <c r="K942" s="425">
        <v>11514.72928</v>
      </c>
      <c r="L942" s="542" t="s">
        <v>621</v>
      </c>
      <c r="M942" s="430" t="s">
        <v>699</v>
      </c>
      <c r="N942" s="206"/>
      <c r="O942" s="546"/>
    </row>
    <row r="943" spans="1:15" ht="15">
      <c r="A943" s="429">
        <v>279092</v>
      </c>
      <c r="B943" t="str">
        <f t="shared" si="32"/>
        <v>SEVROLL vedenie Galaxy B 50kg na stenu 3m</v>
      </c>
      <c r="C943" s="209">
        <f t="shared" si="31"/>
        <v>20.801749999999998</v>
      </c>
      <c r="D943" s="542" t="s">
        <v>4112</v>
      </c>
      <c r="E943" s="542" t="s">
        <v>2780</v>
      </c>
      <c r="F943" s="542" t="s">
        <v>4113</v>
      </c>
      <c r="G943" s="542" t="s">
        <v>2862</v>
      </c>
      <c r="H943" s="426">
        <v>511.39211999999998</v>
      </c>
      <c r="I943" s="425">
        <v>20.801749999999998</v>
      </c>
      <c r="J943" s="425">
        <v>60.76</v>
      </c>
      <c r="K943" s="425">
        <v>5749.3010999999997</v>
      </c>
      <c r="L943" s="542" t="s">
        <v>621</v>
      </c>
      <c r="M943" s="430" t="s">
        <v>699</v>
      </c>
      <c r="N943" s="206"/>
      <c r="O943" s="546"/>
    </row>
    <row r="944" spans="1:15" ht="15">
      <c r="A944" s="429">
        <v>279091</v>
      </c>
      <c r="B944" t="str">
        <f t="shared" si="32"/>
        <v>SEVROLL vedenie Galaxy B 50kg na stenu 2m</v>
      </c>
      <c r="C944" s="209">
        <f t="shared" si="31"/>
        <v>13.883900000000001</v>
      </c>
      <c r="D944" s="542" t="s">
        <v>4114</v>
      </c>
      <c r="E944" s="542" t="s">
        <v>2781</v>
      </c>
      <c r="F944" s="542" t="s">
        <v>4115</v>
      </c>
      <c r="G944" s="542" t="s">
        <v>2863</v>
      </c>
      <c r="H944" s="426">
        <v>341.40624000000003</v>
      </c>
      <c r="I944" s="425">
        <v>13.883900000000001</v>
      </c>
      <c r="J944" s="425">
        <v>40.479999999999997</v>
      </c>
      <c r="K944" s="425">
        <v>3838.2431000000001</v>
      </c>
      <c r="L944" s="542" t="s">
        <v>621</v>
      </c>
      <c r="M944" s="430" t="s">
        <v>699</v>
      </c>
      <c r="N944" s="206"/>
      <c r="O944" s="546"/>
    </row>
    <row r="945" spans="1:14" ht="15">
      <c r="A945" s="429">
        <v>128842</v>
      </c>
      <c r="B945" t="str">
        <f t="shared" si="32"/>
        <v>SEVROLL-VRTÁK STUPŇOVITÝ 6,5/9,5mm</v>
      </c>
      <c r="C945" s="209">
        <f t="shared" si="31"/>
        <v>23.986910000000002</v>
      </c>
      <c r="D945" s="542" t="s">
        <v>4088</v>
      </c>
      <c r="E945" s="542" t="s">
        <v>2877</v>
      </c>
      <c r="F945" s="542" t="s">
        <v>767</v>
      </c>
      <c r="G945" s="542" t="s">
        <v>2876</v>
      </c>
      <c r="H945" s="426">
        <v>771.37667999999996</v>
      </c>
      <c r="I945" s="425">
        <v>23.986910000000002</v>
      </c>
      <c r="J945" s="425">
        <v>147.47999999999999</v>
      </c>
      <c r="K945" s="425">
        <v>8316.9613300000001</v>
      </c>
      <c r="L945" s="542" t="s">
        <v>621</v>
      </c>
      <c r="M945" s="430" t="s">
        <v>699</v>
      </c>
      <c r="N945" s="206"/>
    </row>
    <row r="946" spans="1:14" ht="15">
      <c r="A946" s="458">
        <v>96420</v>
      </c>
      <c r="B946" t="str">
        <f t="shared" si="32"/>
        <v>SEVROLL tlmič dorazu 10 a 18mm 14 - 25kg</v>
      </c>
      <c r="C946" s="209" t="e">
        <f t="shared" si="31"/>
        <v>#N/A</v>
      </c>
      <c r="D946" s="542" t="s">
        <v>3024</v>
      </c>
      <c r="E946" s="542" t="s">
        <v>1163</v>
      </c>
      <c r="F946" s="542" t="s">
        <v>3025</v>
      </c>
      <c r="G946" s="542" t="s">
        <v>1356</v>
      </c>
      <c r="H946" s="426">
        <v>1E-3</v>
      </c>
      <c r="I946" s="425" t="e">
        <v>#N/A</v>
      </c>
      <c r="J946" s="425">
        <v>1E-3</v>
      </c>
      <c r="K946" s="425">
        <v>1E-3</v>
      </c>
      <c r="L946" s="542" t="s">
        <v>7984</v>
      </c>
      <c r="M946" s="459" t="s">
        <v>703</v>
      </c>
      <c r="N946" s="206"/>
    </row>
    <row r="947" spans="1:14" ht="15">
      <c r="A947" s="458">
        <v>216351</v>
      </c>
      <c r="B947" t="str">
        <f t="shared" si="32"/>
        <v>SEVROLL spoj.lišta Simple H31 3m(18mm) str.</v>
      </c>
      <c r="C947" s="209" t="e">
        <f t="shared" si="31"/>
        <v>#N/A</v>
      </c>
      <c r="D947" s="542" t="s">
        <v>3026</v>
      </c>
      <c r="E947" s="542" t="s">
        <v>2896</v>
      </c>
      <c r="F947" s="542" t="s">
        <v>3027</v>
      </c>
      <c r="G947" s="542" t="s">
        <v>2912</v>
      </c>
      <c r="H947" s="426">
        <v>1E-3</v>
      </c>
      <c r="I947" s="425" t="e">
        <v>#N/A</v>
      </c>
      <c r="J947" s="425">
        <v>1E-3</v>
      </c>
      <c r="K947" s="425">
        <v>1E-3</v>
      </c>
      <c r="L947" s="542" t="s">
        <v>7984</v>
      </c>
      <c r="M947" s="459" t="s">
        <v>699</v>
      </c>
      <c r="N947" s="206"/>
    </row>
    <row r="948" spans="1:14" ht="15">
      <c r="A948" s="458">
        <v>216350</v>
      </c>
      <c r="B948" t="str">
        <f t="shared" si="32"/>
        <v>SEVROLL spoj.lišta Simple H25 3m(18mm) str.</v>
      </c>
      <c r="C948" s="209" t="e">
        <f t="shared" si="31"/>
        <v>#N/A</v>
      </c>
      <c r="D948" s="542" t="s">
        <v>3028</v>
      </c>
      <c r="E948" s="542" t="s">
        <v>2897</v>
      </c>
      <c r="F948" s="542" t="s">
        <v>3029</v>
      </c>
      <c r="G948" s="542" t="s">
        <v>2913</v>
      </c>
      <c r="H948" s="426">
        <v>1E-3</v>
      </c>
      <c r="I948" s="425" t="e">
        <v>#N/A</v>
      </c>
      <c r="J948" s="425">
        <v>1E-3</v>
      </c>
      <c r="K948" s="425">
        <v>1E-3</v>
      </c>
      <c r="L948" s="542" t="s">
        <v>7984</v>
      </c>
      <c r="M948" s="459" t="s">
        <v>699</v>
      </c>
      <c r="N948" s="206"/>
    </row>
    <row r="949" spans="1:14" ht="15">
      <c r="A949" s="458">
        <v>211532</v>
      </c>
      <c r="B949" t="str">
        <f t="shared" si="32"/>
        <v>SEVROLL Factor 18 II-úchyt.lišta str. 2,305m</v>
      </c>
      <c r="C949" s="209" t="e">
        <f t="shared" si="31"/>
        <v>#N/A</v>
      </c>
      <c r="D949" s="542" t="s">
        <v>3092</v>
      </c>
      <c r="E949" s="542" t="s">
        <v>2898</v>
      </c>
      <c r="F949" s="542" t="s">
        <v>3093</v>
      </c>
      <c r="G949" s="542" t="s">
        <v>1394</v>
      </c>
      <c r="H949" s="426">
        <v>1E-3</v>
      </c>
      <c r="I949" s="425" t="e">
        <v>#N/A</v>
      </c>
      <c r="J949" s="425">
        <v>1E-3</v>
      </c>
      <c r="K949" s="425">
        <v>1E-3</v>
      </c>
      <c r="L949" s="542" t="s">
        <v>7984</v>
      </c>
      <c r="M949" s="459" t="s">
        <v>699</v>
      </c>
      <c r="N949" s="206"/>
    </row>
    <row r="950" spans="1:14" ht="15">
      <c r="A950" s="458">
        <v>89279</v>
      </c>
      <c r="B950" t="str">
        <f t="shared" si="32"/>
        <v>SEVROLL Factor 16-úchyt.lišta strieborná2,7m</v>
      </c>
      <c r="C950" s="209" t="e">
        <f t="shared" si="31"/>
        <v>#N/A</v>
      </c>
      <c r="D950" s="542" t="s">
        <v>3096</v>
      </c>
      <c r="E950" s="542" t="s">
        <v>1150</v>
      </c>
      <c r="F950" s="542" t="s">
        <v>3097</v>
      </c>
      <c r="G950" s="542" t="s">
        <v>2914</v>
      </c>
      <c r="H950" s="426">
        <v>1E-3</v>
      </c>
      <c r="I950" s="425" t="e">
        <v>#N/A</v>
      </c>
      <c r="J950" s="425">
        <v>1E-3</v>
      </c>
      <c r="K950" s="425">
        <v>1E-3</v>
      </c>
      <c r="L950" s="542" t="s">
        <v>7984</v>
      </c>
      <c r="M950" s="459" t="s">
        <v>699</v>
      </c>
      <c r="N950" s="206"/>
    </row>
    <row r="951" spans="1:14" ht="15">
      <c r="A951" s="458">
        <v>245317</v>
      </c>
      <c r="B951" t="str">
        <f t="shared" si="32"/>
        <v>SEVROLL vzorkovník profilov Simple (krabička</v>
      </c>
      <c r="C951" s="209">
        <f t="shared" si="31"/>
        <v>0</v>
      </c>
      <c r="D951" s="542" t="s">
        <v>3133</v>
      </c>
      <c r="E951" s="542" t="s">
        <v>1418</v>
      </c>
      <c r="F951" s="542" t="s">
        <v>3134</v>
      </c>
      <c r="G951" s="542" t="s">
        <v>2915</v>
      </c>
      <c r="H951" s="426">
        <v>91.434200000000004</v>
      </c>
      <c r="I951" s="425">
        <v>0</v>
      </c>
      <c r="J951" s="425">
        <v>16.201000000000001</v>
      </c>
      <c r="K951" s="425">
        <v>1309.3515400000001</v>
      </c>
      <c r="L951" s="542" t="s">
        <v>623</v>
      </c>
      <c r="M951" s="459" t="s">
        <v>699</v>
      </c>
      <c r="N951" s="206"/>
    </row>
    <row r="952" spans="1:14" ht="15">
      <c r="A952" s="458">
        <v>336641</v>
      </c>
      <c r="B952" t="str">
        <f t="shared" si="32"/>
        <v/>
      </c>
      <c r="C952" s="209" t="e">
        <f t="shared" si="31"/>
        <v>#N/A</v>
      </c>
      <c r="D952" s="542" t="s">
        <v>3135</v>
      </c>
      <c r="E952" s="542" t="s">
        <v>84</v>
      </c>
      <c r="F952" s="542" t="s">
        <v>84</v>
      </c>
      <c r="G952" s="542" t="s">
        <v>84</v>
      </c>
      <c r="H952" s="426">
        <v>1E-3</v>
      </c>
      <c r="I952" s="425" t="e">
        <v>#N/A</v>
      </c>
      <c r="J952" s="425">
        <v>1E-3</v>
      </c>
      <c r="K952" s="425">
        <v>1E-3</v>
      </c>
      <c r="L952" s="542" t="s">
        <v>7984</v>
      </c>
      <c r="M952" s="459" t="s">
        <v>699</v>
      </c>
      <c r="N952" s="206"/>
    </row>
    <row r="953" spans="1:14" ht="15">
      <c r="A953" s="458">
        <v>310079</v>
      </c>
      <c r="B953" t="str">
        <f t="shared" si="32"/>
        <v/>
      </c>
      <c r="C953" s="209" t="e">
        <f t="shared" si="31"/>
        <v>#N/A</v>
      </c>
      <c r="D953" s="542" t="s">
        <v>3136</v>
      </c>
      <c r="E953" s="542" t="s">
        <v>84</v>
      </c>
      <c r="F953" s="542" t="s">
        <v>84</v>
      </c>
      <c r="G953" s="542" t="s">
        <v>84</v>
      </c>
      <c r="H953" s="426">
        <v>15.125</v>
      </c>
      <c r="I953" s="425" t="e">
        <v>#N/A</v>
      </c>
      <c r="J953" s="425">
        <v>5.96E-3</v>
      </c>
      <c r="K953" s="425">
        <v>0</v>
      </c>
      <c r="L953" s="542" t="s">
        <v>624</v>
      </c>
      <c r="M953" s="459" t="s">
        <v>699</v>
      </c>
      <c r="N953" s="206"/>
    </row>
    <row r="954" spans="1:14" ht="15">
      <c r="A954" s="458">
        <v>222761</v>
      </c>
      <c r="B954" t="str">
        <f t="shared" si="32"/>
        <v>SEVROLL šablóna pre vozíky DTD 18mm</v>
      </c>
      <c r="C954" s="209">
        <f t="shared" si="31"/>
        <v>4.56548</v>
      </c>
      <c r="D954" s="542" t="s">
        <v>3139</v>
      </c>
      <c r="E954" s="542" t="s">
        <v>1052</v>
      </c>
      <c r="F954" s="542" t="s">
        <v>3140</v>
      </c>
      <c r="G954" s="542" t="s">
        <v>2916</v>
      </c>
      <c r="H954" s="426">
        <v>147.01029</v>
      </c>
      <c r="I954" s="425">
        <v>4.56548</v>
      </c>
      <c r="J954" s="425">
        <v>28.18</v>
      </c>
      <c r="K954" s="425">
        <v>1585.06078</v>
      </c>
      <c r="L954" s="542" t="s">
        <v>624</v>
      </c>
      <c r="M954" s="459" t="s">
        <v>699</v>
      </c>
      <c r="N954" s="206"/>
    </row>
    <row r="955" spans="1:14" ht="15">
      <c r="A955" s="458">
        <v>291822</v>
      </c>
      <c r="B955" t="str">
        <f t="shared" si="32"/>
        <v/>
      </c>
      <c r="C955" s="209">
        <f t="shared" ref="C955:C979" si="33">IF($A$2=1,H955,IF($A$2=2,I955,IF($A$2=3,J955,IF($A$2=4,K955,"zadat jazyk"))))</f>
        <v>0</v>
      </c>
      <c r="D955" s="542" t="s">
        <v>3141</v>
      </c>
      <c r="E955" s="542" t="s">
        <v>84</v>
      </c>
      <c r="F955" s="542" t="s">
        <v>84</v>
      </c>
      <c r="G955" s="542" t="s">
        <v>84</v>
      </c>
      <c r="H955" s="426">
        <v>4.274E-2</v>
      </c>
      <c r="I955" s="425">
        <v>0</v>
      </c>
      <c r="J955" s="425">
        <v>5.4200000000000003E-3</v>
      </c>
      <c r="K955" s="425">
        <v>0.43791999999999998</v>
      </c>
      <c r="L955" s="542" t="s">
        <v>623</v>
      </c>
      <c r="M955" s="459" t="s">
        <v>699</v>
      </c>
      <c r="N955" s="206"/>
    </row>
    <row r="956" spans="1:14" ht="15">
      <c r="A956" s="458">
        <v>336476</v>
      </c>
      <c r="B956" t="str">
        <f t="shared" si="32"/>
        <v/>
      </c>
      <c r="C956" s="209" t="e">
        <f t="shared" si="33"/>
        <v>#N/A</v>
      </c>
      <c r="D956" s="542" t="s">
        <v>2892</v>
      </c>
      <c r="E956" s="542" t="s">
        <v>84</v>
      </c>
      <c r="F956" s="542" t="s">
        <v>84</v>
      </c>
      <c r="G956" s="542" t="s">
        <v>84</v>
      </c>
      <c r="H956" s="426">
        <v>7999.9947099999999</v>
      </c>
      <c r="I956" s="425" t="e">
        <v>#N/A</v>
      </c>
      <c r="J956" s="425">
        <v>1267.5790400000001</v>
      </c>
      <c r="K956" s="425">
        <v>102444.71515</v>
      </c>
      <c r="L956" s="542" t="s">
        <v>624</v>
      </c>
      <c r="M956" s="459" t="s">
        <v>699</v>
      </c>
      <c r="N956" s="206"/>
    </row>
    <row r="957" spans="1:14" ht="15">
      <c r="A957" s="458">
        <v>310078</v>
      </c>
      <c r="B957" t="str">
        <f t="shared" si="32"/>
        <v/>
      </c>
      <c r="C957" s="209" t="e">
        <f t="shared" si="33"/>
        <v>#N/A</v>
      </c>
      <c r="D957" s="542" t="s">
        <v>3142</v>
      </c>
      <c r="E957" s="542" t="s">
        <v>84</v>
      </c>
      <c r="F957" s="542" t="s">
        <v>84</v>
      </c>
      <c r="G957" s="542" t="s">
        <v>84</v>
      </c>
      <c r="H957" s="426">
        <v>11.074999999999999</v>
      </c>
      <c r="I957" s="425" t="e">
        <v>#N/A</v>
      </c>
      <c r="J957" s="425">
        <v>5.96E-3</v>
      </c>
      <c r="K957" s="425">
        <v>0.43791999999999998</v>
      </c>
      <c r="L957" s="542" t="s">
        <v>624</v>
      </c>
      <c r="M957" s="459" t="s">
        <v>699</v>
      </c>
      <c r="N957" s="206"/>
    </row>
    <row r="958" spans="1:14" ht="15">
      <c r="A958" s="458">
        <v>310077</v>
      </c>
      <c r="B958" t="str">
        <f t="shared" si="32"/>
        <v/>
      </c>
      <c r="C958" s="209" t="e">
        <f t="shared" si="33"/>
        <v>#N/A</v>
      </c>
      <c r="D958" s="542" t="s">
        <v>3143</v>
      </c>
      <c r="E958" s="542" t="s">
        <v>84</v>
      </c>
      <c r="F958" s="542" t="s">
        <v>84</v>
      </c>
      <c r="G958" s="542" t="s">
        <v>84</v>
      </c>
      <c r="H958" s="426">
        <v>1E-3</v>
      </c>
      <c r="I958" s="425" t="e">
        <v>#N/A</v>
      </c>
      <c r="J958" s="425">
        <v>1E-3</v>
      </c>
      <c r="K958" s="425">
        <v>1E-3</v>
      </c>
      <c r="L958" s="542" t="s">
        <v>7984</v>
      </c>
      <c r="M958" s="459" t="s">
        <v>699</v>
      </c>
      <c r="N958" s="206"/>
    </row>
    <row r="959" spans="1:14" ht="15">
      <c r="A959" s="458">
        <v>310080</v>
      </c>
      <c r="B959" t="str">
        <f t="shared" si="32"/>
        <v/>
      </c>
      <c r="C959" s="209" t="e">
        <f t="shared" si="33"/>
        <v>#N/A</v>
      </c>
      <c r="D959" s="542" t="s">
        <v>3144</v>
      </c>
      <c r="E959" s="542" t="s">
        <v>84</v>
      </c>
      <c r="F959" s="542" t="s">
        <v>84</v>
      </c>
      <c r="G959" s="542" t="s">
        <v>2917</v>
      </c>
      <c r="H959" s="426">
        <v>13.125</v>
      </c>
      <c r="I959" s="425" t="e">
        <v>#N/A</v>
      </c>
      <c r="J959" s="425">
        <v>5.96E-3</v>
      </c>
      <c r="K959" s="425">
        <v>0</v>
      </c>
      <c r="L959" s="542" t="s">
        <v>624</v>
      </c>
      <c r="M959" s="459" t="s">
        <v>699</v>
      </c>
      <c r="N959" s="206"/>
    </row>
    <row r="960" spans="1:14" ht="15">
      <c r="A960" s="458">
        <v>335225</v>
      </c>
      <c r="B960" t="str">
        <f t="shared" si="32"/>
        <v>K-SEVROLL sp.vozík V 10mm+mont.prípr.zadarmo</v>
      </c>
      <c r="C960" s="209">
        <f t="shared" si="33"/>
        <v>0</v>
      </c>
      <c r="D960" s="542" t="s">
        <v>3145</v>
      </c>
      <c r="E960" s="542" t="s">
        <v>84</v>
      </c>
      <c r="F960" s="542" t="s">
        <v>3146</v>
      </c>
      <c r="G960" s="542" t="s">
        <v>84</v>
      </c>
      <c r="H960" s="426">
        <v>850</v>
      </c>
      <c r="I960" s="425">
        <v>0</v>
      </c>
      <c r="J960" s="425">
        <v>0</v>
      </c>
      <c r="K960" s="425">
        <v>0</v>
      </c>
      <c r="L960" s="542" t="s">
        <v>624</v>
      </c>
      <c r="M960" s="459" t="s">
        <v>700</v>
      </c>
      <c r="N960" s="206"/>
    </row>
    <row r="961" spans="1:14" ht="15">
      <c r="A961" s="458">
        <v>335227</v>
      </c>
      <c r="B961" t="str">
        <f t="shared" si="32"/>
        <v>K-SEVROLL sp.vozík V 10mm+Fix+vrták zadarmo</v>
      </c>
      <c r="C961" s="209">
        <f t="shared" si="33"/>
        <v>0</v>
      </c>
      <c r="D961" s="542" t="s">
        <v>3147</v>
      </c>
      <c r="E961" s="542" t="s">
        <v>84</v>
      </c>
      <c r="F961" s="542" t="s">
        <v>3148</v>
      </c>
      <c r="G961" s="542" t="s">
        <v>84</v>
      </c>
      <c r="H961" s="426">
        <v>1850</v>
      </c>
      <c r="I961" s="425">
        <v>0</v>
      </c>
      <c r="J961" s="425">
        <v>0</v>
      </c>
      <c r="K961" s="425">
        <v>0</v>
      </c>
      <c r="L961" s="542" t="s">
        <v>624</v>
      </c>
      <c r="M961" s="459" t="s">
        <v>700</v>
      </c>
      <c r="N961" s="206"/>
    </row>
    <row r="962" spans="1:14" ht="15">
      <c r="A962" s="458">
        <v>328334</v>
      </c>
      <c r="B962" t="str">
        <f t="shared" si="32"/>
        <v/>
      </c>
      <c r="C962" s="209">
        <f t="shared" si="33"/>
        <v>0</v>
      </c>
      <c r="D962" s="542" t="s">
        <v>3149</v>
      </c>
      <c r="E962" s="542" t="s">
        <v>84</v>
      </c>
      <c r="F962" s="542" t="s">
        <v>84</v>
      </c>
      <c r="G962" s="542" t="s">
        <v>84</v>
      </c>
      <c r="H962" s="426">
        <v>127.20950000000001</v>
      </c>
      <c r="I962" s="425">
        <v>0</v>
      </c>
      <c r="J962" s="425">
        <v>0</v>
      </c>
      <c r="K962" s="425">
        <v>0</v>
      </c>
      <c r="L962" s="542" t="s">
        <v>624</v>
      </c>
      <c r="M962" s="459" t="s">
        <v>700</v>
      </c>
      <c r="N962" s="206"/>
    </row>
    <row r="963" spans="1:14" ht="15">
      <c r="A963" s="458">
        <v>179111</v>
      </c>
      <c r="B963" t="str">
        <f t="shared" si="32"/>
        <v>SEVROLL-VZORKOVNÍK SAMOLEPIACICH F.</v>
      </c>
      <c r="C963" s="209">
        <f t="shared" si="33"/>
        <v>0</v>
      </c>
      <c r="D963" s="542" t="s">
        <v>3152</v>
      </c>
      <c r="E963" s="542" t="s">
        <v>1164</v>
      </c>
      <c r="F963" s="542" t="s">
        <v>1165</v>
      </c>
      <c r="G963" s="542" t="s">
        <v>2918</v>
      </c>
      <c r="H963" s="426">
        <v>142.19703999999999</v>
      </c>
      <c r="I963" s="425">
        <v>0</v>
      </c>
      <c r="J963" s="425">
        <v>25.95411</v>
      </c>
      <c r="K963" s="425">
        <v>2097.5899199999999</v>
      </c>
      <c r="L963" s="542" t="s">
        <v>622</v>
      </c>
      <c r="M963" s="459" t="s">
        <v>699</v>
      </c>
      <c r="N963" s="206"/>
    </row>
    <row r="964" spans="1:14" ht="15">
      <c r="A964" s="458">
        <v>328716</v>
      </c>
      <c r="B964" t="str">
        <f t="shared" si="32"/>
        <v/>
      </c>
      <c r="C964" s="209" t="e">
        <f t="shared" si="33"/>
        <v>#N/A</v>
      </c>
      <c r="D964" s="542" t="s">
        <v>3241</v>
      </c>
      <c r="E964" s="542" t="s">
        <v>2899</v>
      </c>
      <c r="F964" s="542" t="s">
        <v>84</v>
      </c>
      <c r="G964" s="542" t="s">
        <v>84</v>
      </c>
      <c r="H964" s="426">
        <v>906.39120000000003</v>
      </c>
      <c r="I964" s="425" t="e">
        <v>#N/A</v>
      </c>
      <c r="J964" s="425">
        <v>160.60120000000001</v>
      </c>
      <c r="K964" s="425">
        <v>0</v>
      </c>
      <c r="L964" s="542" t="s">
        <v>622</v>
      </c>
      <c r="M964" s="459" t="s">
        <v>699</v>
      </c>
      <c r="N964" s="206"/>
    </row>
    <row r="965" spans="1:14" ht="15">
      <c r="A965" s="458">
        <v>252988</v>
      </c>
      <c r="B965" t="str">
        <f t="shared" si="32"/>
        <v>SEVROLL Simple šablóna pre vozíky DTD 18mm</v>
      </c>
      <c r="C965" s="209" t="e">
        <f t="shared" si="33"/>
        <v>#N/A</v>
      </c>
      <c r="D965" s="542" t="s">
        <v>3324</v>
      </c>
      <c r="E965" s="542" t="s">
        <v>1429</v>
      </c>
      <c r="F965" s="542" t="s">
        <v>3325</v>
      </c>
      <c r="G965" s="542" t="s">
        <v>2919</v>
      </c>
      <c r="H965" s="426">
        <v>1E-3</v>
      </c>
      <c r="I965" s="425" t="e">
        <v>#N/A</v>
      </c>
      <c r="J965" s="425">
        <v>1E-3</v>
      </c>
      <c r="K965" s="425">
        <v>1E-3</v>
      </c>
      <c r="L965" s="542" t="s">
        <v>7984</v>
      </c>
      <c r="M965" s="459" t="s">
        <v>703</v>
      </c>
      <c r="N965" s="206"/>
    </row>
    <row r="966" spans="1:14" ht="15">
      <c r="A966" s="458">
        <v>301650</v>
      </c>
      <c r="B966" t="str">
        <f t="shared" si="32"/>
        <v>SEV-reklamný kľúč Simple  pre  DTD 18mm</v>
      </c>
      <c r="C966" s="209" t="e">
        <f t="shared" si="33"/>
        <v>#N/A</v>
      </c>
      <c r="D966" s="542" t="s">
        <v>2893</v>
      </c>
      <c r="E966" s="542" t="s">
        <v>2900</v>
      </c>
      <c r="F966" s="542" t="s">
        <v>2925</v>
      </c>
      <c r="G966" s="542" t="s">
        <v>84</v>
      </c>
      <c r="H966" s="426">
        <v>4.2999999999999999E-4</v>
      </c>
      <c r="I966" s="425" t="e">
        <v>#N/A</v>
      </c>
      <c r="J966" s="425">
        <v>6.0000000000000002E-5</v>
      </c>
      <c r="K966" s="425">
        <v>4.4999999999999997E-3</v>
      </c>
      <c r="L966" s="542" t="s">
        <v>622</v>
      </c>
      <c r="M966" s="459" t="s">
        <v>699</v>
      </c>
      <c r="N966" s="206"/>
    </row>
    <row r="967" spans="1:14" ht="15">
      <c r="A967" s="458">
        <v>301649</v>
      </c>
      <c r="B967" t="str">
        <f t="shared" si="32"/>
        <v>SEV-reklamný imbus pre vozíky DTD 18mm</v>
      </c>
      <c r="C967" s="209" t="e">
        <f t="shared" si="33"/>
        <v>#N/A</v>
      </c>
      <c r="D967" s="542" t="s">
        <v>2894</v>
      </c>
      <c r="E967" s="542" t="s">
        <v>2901</v>
      </c>
      <c r="F967" s="542" t="s">
        <v>2926</v>
      </c>
      <c r="G967" s="542" t="s">
        <v>84</v>
      </c>
      <c r="H967" s="426">
        <v>4.2999999999999999E-4</v>
      </c>
      <c r="I967" s="425" t="e">
        <v>#N/A</v>
      </c>
      <c r="J967" s="425">
        <v>6.0000000000000002E-5</v>
      </c>
      <c r="K967" s="425">
        <v>0.44683</v>
      </c>
      <c r="L967" s="542" t="s">
        <v>622</v>
      </c>
      <c r="M967" s="459" t="s">
        <v>699</v>
      </c>
      <c r="N967" s="206"/>
    </row>
    <row r="968" spans="1:14" ht="15">
      <c r="A968" s="458">
        <v>216728</v>
      </c>
      <c r="B968" t="str">
        <f t="shared" si="32"/>
        <v>SEV-predajný stojan na profily</v>
      </c>
      <c r="C968" s="209" t="e">
        <f t="shared" si="33"/>
        <v>#N/A</v>
      </c>
      <c r="D968" s="542" t="s">
        <v>1168</v>
      </c>
      <c r="E968" s="542" t="s">
        <v>1169</v>
      </c>
      <c r="F968" s="542" t="s">
        <v>1170</v>
      </c>
      <c r="G968" s="542" t="s">
        <v>2920</v>
      </c>
      <c r="H968" s="426">
        <v>1E-3</v>
      </c>
      <c r="I968" s="425" t="e">
        <v>#N/A</v>
      </c>
      <c r="J968" s="425">
        <v>1E-3</v>
      </c>
      <c r="K968" s="425">
        <v>1E-3</v>
      </c>
      <c r="L968" s="542" t="s">
        <v>7984</v>
      </c>
      <c r="M968" s="459" t="s">
        <v>699</v>
      </c>
      <c r="N968" s="206"/>
    </row>
    <row r="969" spans="1:14" ht="15">
      <c r="A969" s="458">
        <v>343374</v>
      </c>
      <c r="B969" t="str">
        <f t="shared" si="32"/>
        <v/>
      </c>
      <c r="C969" s="209">
        <f t="shared" si="33"/>
        <v>25.979780000000002</v>
      </c>
      <c r="D969" s="542" t="s">
        <v>3442</v>
      </c>
      <c r="E969" s="542" t="s">
        <v>2902</v>
      </c>
      <c r="F969" s="542" t="s">
        <v>84</v>
      </c>
      <c r="G969" s="542" t="s">
        <v>84</v>
      </c>
      <c r="H969" s="426">
        <v>835.48</v>
      </c>
      <c r="I969" s="425">
        <v>25.979780000000002</v>
      </c>
      <c r="J969" s="425">
        <v>158.55000000000001</v>
      </c>
      <c r="K969" s="425">
        <v>9008.1215499999998</v>
      </c>
      <c r="L969" s="542" t="s">
        <v>622</v>
      </c>
      <c r="M969" s="459" t="s">
        <v>699</v>
      </c>
      <c r="N969" s="206"/>
    </row>
    <row r="970" spans="1:14" ht="15">
      <c r="A970" s="458">
        <v>128850</v>
      </c>
      <c r="B970" t="str">
        <f t="shared" si="32"/>
        <v>SEVROLL-MONT.PRÍPRAVOK NA DTD 10mm VEĽKÝ</v>
      </c>
      <c r="C970" s="209">
        <f t="shared" si="33"/>
        <v>139.00569999999999</v>
      </c>
      <c r="D970" s="542" t="s">
        <v>3441</v>
      </c>
      <c r="E970" s="542" t="s">
        <v>2903</v>
      </c>
      <c r="F970" s="542" t="s">
        <v>1166</v>
      </c>
      <c r="G970" s="542" t="s">
        <v>1167</v>
      </c>
      <c r="H970" s="426">
        <v>5161.5997299999999</v>
      </c>
      <c r="I970" s="425">
        <v>139.00569999999999</v>
      </c>
      <c r="J970" s="425">
        <v>848.53</v>
      </c>
      <c r="K970" s="425">
        <v>55422.569459999999</v>
      </c>
      <c r="L970" s="542" t="s">
        <v>622</v>
      </c>
      <c r="M970" s="459" t="s">
        <v>699</v>
      </c>
      <c r="N970" s="206"/>
    </row>
    <row r="971" spans="1:14" ht="15">
      <c r="A971" s="458">
        <v>234728</v>
      </c>
      <c r="B971" t="str">
        <f t="shared" si="32"/>
        <v>SEV-Gemini horné vedenie 1,56m strieborn</v>
      </c>
      <c r="C971" s="209" t="e">
        <f t="shared" si="33"/>
        <v>#N/A</v>
      </c>
      <c r="D971" s="542" t="s">
        <v>2895</v>
      </c>
      <c r="E971" s="542" t="s">
        <v>2904</v>
      </c>
      <c r="F971" s="542" t="s">
        <v>2927</v>
      </c>
      <c r="G971" s="542" t="s">
        <v>1403</v>
      </c>
      <c r="H971" s="426">
        <v>133.40525</v>
      </c>
      <c r="I971" s="425" t="e">
        <v>#N/A</v>
      </c>
      <c r="J971" s="425">
        <v>20.801220000000001</v>
      </c>
      <c r="K971" s="425">
        <v>1528.30664</v>
      </c>
      <c r="L971" s="542" t="s">
        <v>622</v>
      </c>
      <c r="M971" s="459" t="s">
        <v>699</v>
      </c>
      <c r="N971" s="206"/>
    </row>
    <row r="972" spans="1:14" ht="15">
      <c r="A972" s="458">
        <v>304009</v>
      </c>
      <c r="B972" t="str">
        <f t="shared" si="32"/>
        <v>SEVROLL bezp.fólie 500mm/50m transparentne</v>
      </c>
      <c r="C972" s="209" t="e">
        <f t="shared" si="33"/>
        <v>#N/A</v>
      </c>
      <c r="D972" s="542" t="s">
        <v>3922</v>
      </c>
      <c r="E972" s="542" t="s">
        <v>2905</v>
      </c>
      <c r="F972" s="542" t="s">
        <v>3923</v>
      </c>
      <c r="G972" s="542" t="s">
        <v>2921</v>
      </c>
      <c r="H972" s="426">
        <v>1294.0324499999999</v>
      </c>
      <c r="I972" s="425" t="e">
        <v>#N/A</v>
      </c>
      <c r="J972" s="425">
        <v>245.57</v>
      </c>
      <c r="K972" s="425">
        <v>13952.221</v>
      </c>
      <c r="L972" s="542" t="s">
        <v>622</v>
      </c>
      <c r="M972" s="459" t="s">
        <v>699</v>
      </c>
      <c r="N972" s="206"/>
    </row>
    <row r="973" spans="1:14" ht="15">
      <c r="A973" s="458">
        <v>236118</v>
      </c>
      <c r="B973" t="str">
        <f t="shared" si="32"/>
        <v>SEVROLL Gemini horné vedenie 2,355m stieborná+otvory</v>
      </c>
      <c r="C973" s="209" t="e">
        <f t="shared" si="33"/>
        <v>#N/A</v>
      </c>
      <c r="D973" s="542" t="s">
        <v>3978</v>
      </c>
      <c r="E973" s="542" t="s">
        <v>2906</v>
      </c>
      <c r="F973" s="542" t="s">
        <v>3979</v>
      </c>
      <c r="G973" s="542" t="s">
        <v>1406</v>
      </c>
      <c r="H973" s="426">
        <v>223.512</v>
      </c>
      <c r="I973" s="425" t="e">
        <v>#N/A</v>
      </c>
      <c r="J973" s="425">
        <v>31.946850000000001</v>
      </c>
      <c r="K973" s="425">
        <v>0</v>
      </c>
      <c r="L973" s="542" t="s">
        <v>921</v>
      </c>
      <c r="M973" s="459" t="s">
        <v>699</v>
      </c>
      <c r="N973" s="206"/>
    </row>
    <row r="974" spans="1:14" ht="15">
      <c r="A974" s="458">
        <v>236152</v>
      </c>
      <c r="B974" t="str">
        <f t="shared" si="32"/>
        <v>SEVROLL Gemini spodné vedenie 2,355m stieborná+otvory</v>
      </c>
      <c r="C974" s="209" t="e">
        <f t="shared" si="33"/>
        <v>#N/A</v>
      </c>
      <c r="D974" s="542" t="s">
        <v>3116</v>
      </c>
      <c r="E974" s="542" t="s">
        <v>2907</v>
      </c>
      <c r="F974" s="542" t="s">
        <v>3117</v>
      </c>
      <c r="G974" s="542" t="s">
        <v>1407</v>
      </c>
      <c r="H974" s="426">
        <v>1E-3</v>
      </c>
      <c r="I974" s="425" t="e">
        <v>#N/A</v>
      </c>
      <c r="J974" s="425">
        <v>1E-3</v>
      </c>
      <c r="K974" s="425">
        <v>1E-3</v>
      </c>
      <c r="L974" s="542" t="s">
        <v>7984</v>
      </c>
      <c r="M974" s="459" t="s">
        <v>699</v>
      </c>
      <c r="N974" s="206"/>
    </row>
    <row r="975" spans="1:14" ht="15">
      <c r="A975" s="458">
        <v>128842</v>
      </c>
      <c r="B975" t="str">
        <f t="shared" si="32"/>
        <v>SEVROLL-VRTÁK STUPŇOVITÝ 6,5/9,5mm</v>
      </c>
      <c r="C975" s="209">
        <f t="shared" si="33"/>
        <v>23.986910000000002</v>
      </c>
      <c r="D975" s="542" t="s">
        <v>4088</v>
      </c>
      <c r="E975" s="542" t="s">
        <v>2877</v>
      </c>
      <c r="F975" s="542" t="s">
        <v>767</v>
      </c>
      <c r="G975" s="542" t="s">
        <v>2876</v>
      </c>
      <c r="H975" s="426">
        <v>771.37667999999996</v>
      </c>
      <c r="I975" s="425">
        <v>23.986910000000002</v>
      </c>
      <c r="J975" s="425">
        <v>147.47999999999999</v>
      </c>
      <c r="K975" s="425">
        <v>8316.9613300000001</v>
      </c>
      <c r="L975" s="542" t="s">
        <v>621</v>
      </c>
      <c r="M975" s="459" t="s">
        <v>699</v>
      </c>
      <c r="N975" s="206"/>
    </row>
    <row r="976" spans="1:14" ht="15">
      <c r="A976" s="458">
        <v>252987</v>
      </c>
      <c r="B976" t="str">
        <f t="shared" si="32"/>
        <v>SEVROLL Simple/Blue montážny prípravok na DT</v>
      </c>
      <c r="C976" s="209">
        <f t="shared" si="33"/>
        <v>6.8240699999999999</v>
      </c>
      <c r="D976" s="542" t="s">
        <v>4290</v>
      </c>
      <c r="E976" s="542" t="s">
        <v>2908</v>
      </c>
      <c r="F976" s="542" t="s">
        <v>4291</v>
      </c>
      <c r="G976" s="542" t="s">
        <v>2922</v>
      </c>
      <c r="H976" s="426">
        <v>202.99386000000001</v>
      </c>
      <c r="I976" s="425">
        <v>6.8240699999999999</v>
      </c>
      <c r="J976" s="425">
        <v>38.520000000000003</v>
      </c>
      <c r="K976" s="425">
        <v>2188.6740399999999</v>
      </c>
      <c r="L976" s="542" t="s">
        <v>621</v>
      </c>
      <c r="M976" s="459" t="s">
        <v>699</v>
      </c>
      <c r="N976" s="206"/>
    </row>
    <row r="977" spans="1:14" ht="15">
      <c r="A977" s="458">
        <v>256425</v>
      </c>
      <c r="B977" t="str">
        <f t="shared" si="32"/>
        <v>SEVROLL montážny prípravok pre systém Maxim malý</v>
      </c>
      <c r="C977" s="209">
        <f t="shared" si="33"/>
        <v>5.8819900000000001</v>
      </c>
      <c r="D977" s="542" t="s">
        <v>4336</v>
      </c>
      <c r="E977" s="542" t="s">
        <v>2909</v>
      </c>
      <c r="F977" s="542" t="s">
        <v>4337</v>
      </c>
      <c r="G977" s="542" t="s">
        <v>2923</v>
      </c>
      <c r="H977" s="426">
        <v>189.31849</v>
      </c>
      <c r="I977" s="425">
        <v>5.8819900000000001</v>
      </c>
      <c r="J977" s="425">
        <v>36.200000000000003</v>
      </c>
      <c r="K977" s="425">
        <v>2041.2265199999999</v>
      </c>
      <c r="L977" s="542" t="s">
        <v>621</v>
      </c>
      <c r="M977" s="459" t="s">
        <v>699</v>
      </c>
      <c r="N977" s="206"/>
    </row>
    <row r="978" spans="1:14" ht="15">
      <c r="A978" s="458">
        <v>129677</v>
      </c>
      <c r="B978" t="str">
        <f t="shared" si="32"/>
        <v>SEVROLL-MONT.PRÍPRAVOK NA DTD 10mm MALÝ</v>
      </c>
      <c r="C978" s="209">
        <f t="shared" si="33"/>
        <v>5.60419</v>
      </c>
      <c r="D978" s="542" t="s">
        <v>4338</v>
      </c>
      <c r="E978" s="542" t="s">
        <v>2910</v>
      </c>
      <c r="F978" s="542" t="s">
        <v>766</v>
      </c>
      <c r="G978" s="542" t="s">
        <v>2924</v>
      </c>
      <c r="H978" s="426">
        <v>180.34402</v>
      </c>
      <c r="I978" s="425">
        <v>5.60419</v>
      </c>
      <c r="J978" s="425">
        <v>34.61</v>
      </c>
      <c r="K978" s="425">
        <v>1944.4640899999999</v>
      </c>
      <c r="L978" s="542" t="s">
        <v>621</v>
      </c>
      <c r="M978" s="459" t="s">
        <v>699</v>
      </c>
      <c r="N978" s="206"/>
    </row>
    <row r="979" spans="1:14" ht="15">
      <c r="A979" s="458">
        <v>351824</v>
      </c>
      <c r="B979" t="str">
        <f t="shared" si="32"/>
        <v>SEVROLL Micra šablona pre vozíky</v>
      </c>
      <c r="C979" s="209">
        <f t="shared" si="33"/>
        <v>5.9665299999999997</v>
      </c>
      <c r="D979" s="542" t="s">
        <v>4341</v>
      </c>
      <c r="E979" s="542" t="s">
        <v>2911</v>
      </c>
      <c r="F979" s="542" t="s">
        <v>4342</v>
      </c>
      <c r="G979" s="542" t="s">
        <v>84</v>
      </c>
      <c r="H979" s="426">
        <v>191.88262</v>
      </c>
      <c r="I979" s="425">
        <v>5.9665299999999997</v>
      </c>
      <c r="J979" s="425">
        <v>36.71</v>
      </c>
      <c r="K979" s="425">
        <v>2068.8729199999998</v>
      </c>
      <c r="L979" s="542" t="s">
        <v>621</v>
      </c>
      <c r="M979" s="459" t="s">
        <v>703</v>
      </c>
      <c r="N979" s="206"/>
    </row>
    <row r="980" spans="1:14" ht="15">
      <c r="A980" s="458">
        <v>387424</v>
      </c>
      <c r="B980" t="str">
        <f t="shared" ref="B980" si="34">IF($A$2=1,D980,IF($A$2=2,F980,IF($A$2=3,G980,IF($A$2=4,E980,"zadat jazyk"))))</f>
        <v>SEVROLL držiak spodného vedenia Gemini</v>
      </c>
      <c r="C980" s="209">
        <f t="shared" ref="C980" si="35">IF($A$2=1,H980,IF($A$2=2,I980,IF($A$2=3,J980,IF($A$2=4,K980,"zadat jazyk"))))</f>
        <v>0.21693999999999999</v>
      </c>
      <c r="D980" s="556" t="s">
        <v>4722</v>
      </c>
      <c r="E980" t="s">
        <v>4723</v>
      </c>
      <c r="F980" t="s">
        <v>4724</v>
      </c>
      <c r="G980" t="s">
        <v>4725</v>
      </c>
      <c r="H980" s="426">
        <v>6.5330000000000004</v>
      </c>
      <c r="I980" s="425">
        <v>0.21693999999999999</v>
      </c>
      <c r="J980" s="91">
        <v>0.8</v>
      </c>
      <c r="K980" s="425">
        <v>72.571820000000002</v>
      </c>
      <c r="L980" s="542" t="s">
        <v>621</v>
      </c>
      <c r="M980" s="459" t="s">
        <v>699</v>
      </c>
    </row>
    <row r="981" spans="1:14" ht="15">
      <c r="A981" s="458">
        <v>283281</v>
      </c>
      <c r="B981" t="str">
        <f>IF($A$2=1,D981,IF($A$2=2,F981,IF($A$2=3,G981,IF($A$2=4,E981,"zadat jazyk"))))</f>
        <v>IF-krytka nalepovacia13mm 20ks 93336 hli</v>
      </c>
      <c r="C981" s="209" t="e">
        <f>IF($A$2=1,H981,IF($A$2=2,I981,IF($A$2=3,J981,IF($A$2=4,K981,"zadat jazyk"))))</f>
        <v>#N/A</v>
      </c>
      <c r="D981" t="s">
        <v>2942</v>
      </c>
      <c r="E981" t="s">
        <v>2943</v>
      </c>
      <c r="F981" t="s">
        <v>2944</v>
      </c>
      <c r="G981" t="s">
        <v>2945</v>
      </c>
      <c r="H981" s="426">
        <v>9.99</v>
      </c>
      <c r="I981" s="425" t="e">
        <v>#N/A</v>
      </c>
      <c r="J981" s="91">
        <v>0.88</v>
      </c>
      <c r="K981" s="425">
        <v>1E-3</v>
      </c>
      <c r="L981" s="542" t="s">
        <v>7984</v>
      </c>
      <c r="M981" s="459" t="s">
        <v>699</v>
      </c>
    </row>
    <row r="982" spans="1:14" ht="15">
      <c r="A982" s="458">
        <v>283283</v>
      </c>
      <c r="B982" t="str">
        <f>IF($A$2=1,D982,IF($A$2=2,F982,IF($A$2=3,G982,IF($A$2=4,E982,"zadat jazyk"))))</f>
        <v>IF-krytka nalepovacia13mm 20ks 06 oliva</v>
      </c>
      <c r="C982" s="209" t="e">
        <f>IF($A$2=1,H982,IF($A$2=2,I982,IF($A$2=3,J982,IF($A$2=4,K982,"zadat jazyk"))))</f>
        <v>#N/A</v>
      </c>
      <c r="D982" t="s">
        <v>2938</v>
      </c>
      <c r="E982" t="s">
        <v>2939</v>
      </c>
      <c r="F982" t="s">
        <v>2940</v>
      </c>
      <c r="G982" t="s">
        <v>2941</v>
      </c>
      <c r="H982" s="426">
        <v>15.99</v>
      </c>
      <c r="I982" s="425" t="e">
        <v>#N/A</v>
      </c>
      <c r="J982" s="91">
        <v>1.39</v>
      </c>
      <c r="K982" s="425">
        <v>1E-3</v>
      </c>
      <c r="L982" s="542" t="s">
        <v>7984</v>
      </c>
      <c r="M982" s="459" t="s">
        <v>699</v>
      </c>
    </row>
    <row r="983" spans="1:14" ht="15">
      <c r="A983">
        <v>265343</v>
      </c>
      <c r="B983" t="e">
        <f t="shared" ref="B983:B1026" si="36">IF($A$2=1,D983,IF($A$2=2,F983,IF($A$2=3,G983,IF($A$2=4,E983,"zadat jazyk"))))</f>
        <v>#N/A</v>
      </c>
      <c r="C983" s="209" t="e">
        <f t="shared" ref="C983:C1026" si="37">IF($A$2=1,H983,IF($A$2=2,I983,IF($A$2=3,J983,IF($A$2=4,K983,"zadat jazyk"))))</f>
        <v>#N/A</v>
      </c>
      <c r="D983" t="s">
        <v>4733</v>
      </c>
      <c r="E983" t="e">
        <v>#N/A</v>
      </c>
      <c r="F983" t="e">
        <v>#N/A</v>
      </c>
      <c r="G983" t="e">
        <v>#N/A</v>
      </c>
      <c r="H983" s="214">
        <v>834.18124999999998</v>
      </c>
      <c r="I983" s="425" t="e">
        <v>#N/A</v>
      </c>
      <c r="J983" s="91">
        <v>188.08068</v>
      </c>
      <c r="K983" s="425">
        <v>16031.903539999999</v>
      </c>
      <c r="L983" s="542" t="s">
        <v>622</v>
      </c>
    </row>
    <row r="984" spans="1:14" ht="15">
      <c r="A984">
        <v>328426</v>
      </c>
      <c r="B984" t="e">
        <f t="shared" si="36"/>
        <v>#N/A</v>
      </c>
      <c r="C984" s="209" t="e">
        <f t="shared" si="37"/>
        <v>#N/A</v>
      </c>
      <c r="D984" t="s">
        <v>4734</v>
      </c>
      <c r="E984" t="e">
        <v>#N/A</v>
      </c>
      <c r="F984" t="e">
        <v>#N/A</v>
      </c>
      <c r="G984" t="e">
        <v>#N/A</v>
      </c>
      <c r="H984" s="214">
        <v>311.17115999999999</v>
      </c>
      <c r="I984" s="425" t="e">
        <v>#N/A</v>
      </c>
      <c r="J984" s="91">
        <v>69.596590000000006</v>
      </c>
      <c r="K984" s="425">
        <v>5949.0331500000002</v>
      </c>
      <c r="L984" s="542" t="s">
        <v>622</v>
      </c>
    </row>
    <row r="985" spans="1:14" ht="15">
      <c r="A985">
        <v>328628</v>
      </c>
      <c r="B985" t="str">
        <f t="shared" si="36"/>
        <v/>
      </c>
      <c r="C985" s="209" t="e">
        <f t="shared" si="37"/>
        <v>#N/A</v>
      </c>
      <c r="D985" t="s">
        <v>4735</v>
      </c>
      <c r="E985" t="s">
        <v>6176</v>
      </c>
      <c r="F985" t="s">
        <v>84</v>
      </c>
      <c r="G985" t="s">
        <v>7362</v>
      </c>
      <c r="H985" s="214">
        <v>0</v>
      </c>
      <c r="I985" s="425" t="e">
        <v>#N/A</v>
      </c>
      <c r="J985" s="91">
        <v>0</v>
      </c>
      <c r="K985" s="425">
        <v>0</v>
      </c>
      <c r="L985" s="542" t="s">
        <v>622</v>
      </c>
    </row>
    <row r="986" spans="1:14" ht="15">
      <c r="A986">
        <v>328633</v>
      </c>
      <c r="B986" t="str">
        <f t="shared" si="36"/>
        <v>SEVROLL Gemini horné vedenie 6m biela lesk</v>
      </c>
      <c r="C986" s="209" t="e">
        <f t="shared" si="37"/>
        <v>#N/A</v>
      </c>
      <c r="D986" t="s">
        <v>4736</v>
      </c>
      <c r="E986" t="s">
        <v>6177</v>
      </c>
      <c r="F986" t="s">
        <v>3693</v>
      </c>
      <c r="G986" t="s">
        <v>7363</v>
      </c>
      <c r="H986" s="214">
        <v>0</v>
      </c>
      <c r="I986" s="425" t="e">
        <v>#N/A</v>
      </c>
      <c r="J986" s="91">
        <v>0</v>
      </c>
      <c r="K986" s="425">
        <v>0</v>
      </c>
      <c r="L986" s="542" t="s">
        <v>622</v>
      </c>
    </row>
    <row r="987" spans="1:14" ht="15">
      <c r="A987">
        <v>328661</v>
      </c>
      <c r="B987" t="str">
        <f t="shared" si="36"/>
        <v/>
      </c>
      <c r="C987" s="209" t="e">
        <f t="shared" si="37"/>
        <v>#N/A</v>
      </c>
      <c r="D987" t="s">
        <v>4737</v>
      </c>
      <c r="E987" t="s">
        <v>6178</v>
      </c>
      <c r="F987" t="s">
        <v>84</v>
      </c>
      <c r="G987" t="s">
        <v>7364</v>
      </c>
      <c r="H987" s="214">
        <v>0</v>
      </c>
      <c r="I987" s="425" t="e">
        <v>#N/A</v>
      </c>
      <c r="J987" s="91">
        <v>0</v>
      </c>
      <c r="K987" s="425">
        <v>0</v>
      </c>
      <c r="L987" s="542" t="s">
        <v>622</v>
      </c>
    </row>
    <row r="988" spans="1:14" ht="15">
      <c r="A988">
        <v>328662</v>
      </c>
      <c r="B988" t="str">
        <f t="shared" si="36"/>
        <v/>
      </c>
      <c r="C988" s="209">
        <f t="shared" si="37"/>
        <v>3.9899900000000001</v>
      </c>
      <c r="D988" t="s">
        <v>4738</v>
      </c>
      <c r="E988" t="s">
        <v>6179</v>
      </c>
      <c r="F988" t="s">
        <v>84</v>
      </c>
      <c r="G988" t="s">
        <v>7365</v>
      </c>
      <c r="H988" s="214">
        <v>0</v>
      </c>
      <c r="I988" s="425">
        <v>3.9899900000000001</v>
      </c>
      <c r="J988" s="91">
        <v>0</v>
      </c>
      <c r="K988" s="425">
        <v>0</v>
      </c>
      <c r="L988" s="542" t="s">
        <v>624</v>
      </c>
    </row>
    <row r="989" spans="1:14" ht="15">
      <c r="A989">
        <v>328807</v>
      </c>
      <c r="B989" t="e">
        <f t="shared" si="36"/>
        <v>#N/A</v>
      </c>
      <c r="C989" s="209" t="e">
        <f t="shared" si="37"/>
        <v>#N/A</v>
      </c>
      <c r="D989" t="s">
        <v>4739</v>
      </c>
      <c r="E989" t="e">
        <v>#N/A</v>
      </c>
      <c r="F989" t="e">
        <v>#N/A</v>
      </c>
      <c r="G989" t="e">
        <v>#N/A</v>
      </c>
      <c r="H989" s="214">
        <v>7.4154799999999996</v>
      </c>
      <c r="I989" s="425" t="e">
        <v>#N/A</v>
      </c>
      <c r="J989" s="91">
        <v>1.38486</v>
      </c>
      <c r="K989" s="425">
        <v>108.29091</v>
      </c>
      <c r="L989" s="542" t="s">
        <v>622</v>
      </c>
    </row>
    <row r="990" spans="1:14" ht="15">
      <c r="A990">
        <v>263201</v>
      </c>
      <c r="B990" t="e">
        <f t="shared" si="36"/>
        <v>#N/A</v>
      </c>
      <c r="C990" s="209" t="e">
        <f t="shared" si="37"/>
        <v>#N/A</v>
      </c>
      <c r="D990" t="s">
        <v>4740</v>
      </c>
      <c r="E990" t="e">
        <v>#N/A</v>
      </c>
      <c r="F990" t="e">
        <v>#N/A</v>
      </c>
      <c r="G990" t="e">
        <v>#N/A</v>
      </c>
      <c r="H990" s="214">
        <v>136.9375</v>
      </c>
      <c r="I990" s="425" t="e">
        <v>#N/A</v>
      </c>
      <c r="J990" s="91">
        <v>30.874949999999998</v>
      </c>
      <c r="K990" s="425">
        <v>2631.76467</v>
      </c>
      <c r="L990" s="542" t="s">
        <v>622</v>
      </c>
    </row>
    <row r="991" spans="1:14" ht="15">
      <c r="A991">
        <v>263202</v>
      </c>
      <c r="B991" t="e">
        <f t="shared" si="36"/>
        <v>#N/A</v>
      </c>
      <c r="C991" s="209" t="e">
        <f t="shared" si="37"/>
        <v>#N/A</v>
      </c>
      <c r="D991" t="s">
        <v>4741</v>
      </c>
      <c r="E991" t="e">
        <v>#N/A</v>
      </c>
      <c r="F991" t="e">
        <v>#N/A</v>
      </c>
      <c r="G991" t="e">
        <v>#N/A</v>
      </c>
      <c r="H991" s="214">
        <v>347.2</v>
      </c>
      <c r="I991" s="425" t="e">
        <v>#N/A</v>
      </c>
      <c r="J991" s="91">
        <v>78.28228</v>
      </c>
      <c r="K991" s="425">
        <v>6672.7427600000001</v>
      </c>
      <c r="L991" s="542" t="s">
        <v>622</v>
      </c>
    </row>
    <row r="992" spans="1:14" ht="15">
      <c r="A992">
        <v>263203</v>
      </c>
      <c r="B992" t="e">
        <f t="shared" si="36"/>
        <v>#N/A</v>
      </c>
      <c r="C992" s="209" t="e">
        <f t="shared" si="37"/>
        <v>#N/A</v>
      </c>
      <c r="D992" t="s">
        <v>4742</v>
      </c>
      <c r="E992" t="e">
        <v>#N/A</v>
      </c>
      <c r="F992" t="e">
        <v>#N/A</v>
      </c>
      <c r="G992" t="e">
        <v>#N/A</v>
      </c>
      <c r="H992" s="214">
        <v>157.32499999999999</v>
      </c>
      <c r="I992" s="425" t="e">
        <v>#N/A</v>
      </c>
      <c r="J992" s="91">
        <v>35.471670000000003</v>
      </c>
      <c r="K992" s="425">
        <v>3023.5866799999999</v>
      </c>
      <c r="L992" s="542" t="s">
        <v>622</v>
      </c>
    </row>
    <row r="993" spans="1:12" ht="15">
      <c r="A993">
        <v>263209</v>
      </c>
      <c r="B993" t="e">
        <f t="shared" si="36"/>
        <v>#N/A</v>
      </c>
      <c r="C993" s="209" t="e">
        <f t="shared" si="37"/>
        <v>#N/A</v>
      </c>
      <c r="D993" t="s">
        <v>4743</v>
      </c>
      <c r="E993" t="e">
        <v>#N/A</v>
      </c>
      <c r="F993" t="e">
        <v>#N/A</v>
      </c>
      <c r="G993" t="e">
        <v>#N/A</v>
      </c>
      <c r="H993" s="214">
        <v>94.674999999999997</v>
      </c>
      <c r="I993" s="425" t="e">
        <v>#N/A</v>
      </c>
      <c r="J993" s="91">
        <v>21.346129999999999</v>
      </c>
      <c r="K993" s="425">
        <v>1819.5331100000001</v>
      </c>
      <c r="L993" s="542" t="s">
        <v>622</v>
      </c>
    </row>
    <row r="994" spans="1:12" ht="15">
      <c r="A994">
        <v>263210</v>
      </c>
      <c r="B994" t="e">
        <f t="shared" si="36"/>
        <v>#N/A</v>
      </c>
      <c r="C994" s="209" t="e">
        <f t="shared" si="37"/>
        <v>#N/A</v>
      </c>
      <c r="D994" t="s">
        <v>4744</v>
      </c>
      <c r="E994" t="e">
        <v>#N/A</v>
      </c>
      <c r="F994" t="e">
        <v>#N/A</v>
      </c>
      <c r="G994" t="e">
        <v>#N/A</v>
      </c>
      <c r="H994" s="214">
        <v>347.2</v>
      </c>
      <c r="I994" s="425" t="e">
        <v>#N/A</v>
      </c>
      <c r="J994" s="91">
        <v>78.28228</v>
      </c>
      <c r="K994" s="425">
        <v>6672.7427600000001</v>
      </c>
      <c r="L994" s="542" t="s">
        <v>622</v>
      </c>
    </row>
    <row r="995" spans="1:12" ht="15">
      <c r="A995">
        <v>263211</v>
      </c>
      <c r="B995" t="e">
        <f t="shared" si="36"/>
        <v>#N/A</v>
      </c>
      <c r="C995" s="209" t="e">
        <f t="shared" si="37"/>
        <v>#N/A</v>
      </c>
      <c r="D995" t="s">
        <v>4745</v>
      </c>
      <c r="E995" t="e">
        <v>#N/A</v>
      </c>
      <c r="F995" t="e">
        <v>#N/A</v>
      </c>
      <c r="G995" t="e">
        <v>#N/A</v>
      </c>
      <c r="H995" s="214">
        <v>157.32499999999999</v>
      </c>
      <c r="I995" s="425" t="e">
        <v>#N/A</v>
      </c>
      <c r="J995" s="91">
        <v>35.471670000000003</v>
      </c>
      <c r="K995" s="425">
        <v>3023.5866799999999</v>
      </c>
      <c r="L995" s="542" t="s">
        <v>622</v>
      </c>
    </row>
    <row r="996" spans="1:12" ht="15">
      <c r="A996">
        <v>263213</v>
      </c>
      <c r="B996" t="e">
        <f t="shared" si="36"/>
        <v>#N/A</v>
      </c>
      <c r="C996" s="209" t="e">
        <f t="shared" si="37"/>
        <v>#N/A</v>
      </c>
      <c r="D996" t="s">
        <v>4746</v>
      </c>
      <c r="E996" t="e">
        <v>#N/A</v>
      </c>
      <c r="F996" t="e">
        <v>#N/A</v>
      </c>
      <c r="G996" t="e">
        <v>#N/A</v>
      </c>
      <c r="H996" s="214">
        <v>73.5</v>
      </c>
      <c r="I996" s="425" t="e">
        <v>#N/A</v>
      </c>
      <c r="J996" s="91">
        <v>16.571850000000001</v>
      </c>
      <c r="K996" s="425">
        <v>1412.5766100000001</v>
      </c>
      <c r="L996" s="542" t="s">
        <v>622</v>
      </c>
    </row>
    <row r="997" spans="1:12" ht="15">
      <c r="A997">
        <v>263215</v>
      </c>
      <c r="B997" t="e">
        <f t="shared" si="36"/>
        <v>#N/A</v>
      </c>
      <c r="C997" s="209" t="e">
        <f t="shared" si="37"/>
        <v>#N/A</v>
      </c>
      <c r="D997" t="s">
        <v>4747</v>
      </c>
      <c r="E997" t="e">
        <v>#N/A</v>
      </c>
      <c r="F997" t="e">
        <v>#N/A</v>
      </c>
      <c r="G997" t="e">
        <v>#N/A</v>
      </c>
      <c r="H997" s="214">
        <v>153.47499999999999</v>
      </c>
      <c r="I997" s="425" t="e">
        <v>#N/A</v>
      </c>
      <c r="J997" s="91">
        <v>34.603619999999999</v>
      </c>
      <c r="K997" s="425">
        <v>2949.5944599999998</v>
      </c>
      <c r="L997" s="542" t="s">
        <v>622</v>
      </c>
    </row>
    <row r="998" spans="1:12" ht="15">
      <c r="A998">
        <v>263217</v>
      </c>
      <c r="B998" t="e">
        <f t="shared" si="36"/>
        <v>#N/A</v>
      </c>
      <c r="C998" s="209" t="e">
        <f t="shared" si="37"/>
        <v>#N/A</v>
      </c>
      <c r="D998" t="s">
        <v>4748</v>
      </c>
      <c r="E998" t="e">
        <v>#N/A</v>
      </c>
      <c r="F998" t="e">
        <v>#N/A</v>
      </c>
      <c r="G998" t="e">
        <v>#N/A</v>
      </c>
      <c r="H998" s="214">
        <v>11.025</v>
      </c>
      <c r="I998" s="425" t="e">
        <v>#N/A</v>
      </c>
      <c r="J998" s="91">
        <v>2.4857800000000001</v>
      </c>
      <c r="K998" s="425">
        <v>211.88650999999999</v>
      </c>
      <c r="L998" s="542" t="s">
        <v>622</v>
      </c>
    </row>
    <row r="999" spans="1:12" ht="15">
      <c r="A999">
        <v>372424</v>
      </c>
      <c r="B999" t="str">
        <f t="shared" si="36"/>
        <v>SEVROLL imbusový kľúč SEVROLL</v>
      </c>
      <c r="C999" s="209">
        <f t="shared" si="37"/>
        <v>3.6396999999999999</v>
      </c>
      <c r="D999" t="s">
        <v>4749</v>
      </c>
      <c r="E999" t="s">
        <v>6180</v>
      </c>
      <c r="F999" t="s">
        <v>6866</v>
      </c>
      <c r="G999" t="s">
        <v>7366</v>
      </c>
      <c r="H999" s="214">
        <v>104.61696000000001</v>
      </c>
      <c r="I999" s="425">
        <v>3.6396999999999999</v>
      </c>
      <c r="J999" s="91">
        <v>12.36</v>
      </c>
      <c r="K999" s="425">
        <v>1185.33977</v>
      </c>
      <c r="L999" s="542" t="s">
        <v>622</v>
      </c>
    </row>
    <row r="1000" spans="1:12" ht="15">
      <c r="A1000">
        <v>372603</v>
      </c>
      <c r="B1000" t="str">
        <f t="shared" si="36"/>
        <v>Sevroll Era úchytová lišta 18mm 2,70m biela lesk</v>
      </c>
      <c r="C1000" s="209">
        <f t="shared" si="37"/>
        <v>19.482320000000001</v>
      </c>
      <c r="D1000" t="s">
        <v>4750</v>
      </c>
      <c r="E1000" t="s">
        <v>6181</v>
      </c>
      <c r="F1000" t="s">
        <v>6867</v>
      </c>
      <c r="G1000" t="s">
        <v>7367</v>
      </c>
      <c r="H1000" s="214">
        <v>427.84199999999998</v>
      </c>
      <c r="I1000" s="425">
        <v>19.482320000000001</v>
      </c>
      <c r="J1000" s="91">
        <v>50.19</v>
      </c>
      <c r="K1000" s="425">
        <v>4596.2154600000003</v>
      </c>
      <c r="L1000" s="542" t="s">
        <v>621</v>
      </c>
    </row>
    <row r="1001" spans="1:12" ht="15">
      <c r="A1001">
        <v>372604</v>
      </c>
      <c r="B1001" t="str">
        <f t="shared" si="36"/>
        <v/>
      </c>
      <c r="C1001" s="209">
        <f t="shared" si="37"/>
        <v>15.0891</v>
      </c>
      <c r="D1001" t="s">
        <v>4751</v>
      </c>
      <c r="E1001" t="s">
        <v>6182</v>
      </c>
      <c r="F1001" t="s">
        <v>84</v>
      </c>
      <c r="G1001" t="s">
        <v>7368</v>
      </c>
      <c r="H1001" s="214">
        <v>404.94592</v>
      </c>
      <c r="I1001" s="425">
        <v>15.0891</v>
      </c>
      <c r="J1001" s="91">
        <v>58.44</v>
      </c>
      <c r="K1001" s="425">
        <v>4588.15193</v>
      </c>
      <c r="L1001" s="542" t="s">
        <v>621</v>
      </c>
    </row>
    <row r="1002" spans="1:12" ht="15">
      <c r="A1002">
        <v>372605</v>
      </c>
      <c r="B1002" t="str">
        <f t="shared" si="36"/>
        <v/>
      </c>
      <c r="C1002" s="209">
        <f t="shared" si="37"/>
        <v>16.896899999999999</v>
      </c>
      <c r="D1002" t="s">
        <v>4752</v>
      </c>
      <c r="E1002" t="s">
        <v>6183</v>
      </c>
      <c r="F1002" t="s">
        <v>84</v>
      </c>
      <c r="G1002" t="s">
        <v>7369</v>
      </c>
      <c r="H1002" s="214">
        <v>453.34016000000003</v>
      </c>
      <c r="I1002" s="425">
        <v>16.896899999999999</v>
      </c>
      <c r="J1002" s="91">
        <v>65.459999999999994</v>
      </c>
      <c r="K1002" s="425">
        <v>5136.4723800000002</v>
      </c>
      <c r="L1002" s="542" t="s">
        <v>621</v>
      </c>
    </row>
    <row r="1003" spans="1:12" ht="15">
      <c r="A1003">
        <v>372606</v>
      </c>
      <c r="B1003" t="str">
        <f t="shared" si="36"/>
        <v/>
      </c>
      <c r="C1003" s="209">
        <f t="shared" si="37"/>
        <v>19.596550000000001</v>
      </c>
      <c r="D1003" t="s">
        <v>4753</v>
      </c>
      <c r="E1003" t="s">
        <v>6184</v>
      </c>
      <c r="F1003" t="s">
        <v>84</v>
      </c>
      <c r="G1003" t="s">
        <v>7370</v>
      </c>
      <c r="H1003" s="214">
        <v>525.93151999999998</v>
      </c>
      <c r="I1003" s="425">
        <v>19.596550000000001</v>
      </c>
      <c r="J1003" s="91">
        <v>75.989999999999995</v>
      </c>
      <c r="K1003" s="425">
        <v>5958.9530500000001</v>
      </c>
      <c r="L1003" s="542" t="s">
        <v>621</v>
      </c>
    </row>
    <row r="1004" spans="1:12" ht="15">
      <c r="A1004">
        <v>421952</v>
      </c>
      <c r="B1004" t="str">
        <f t="shared" si="36"/>
        <v>SEVROLL Elegant spod.ved. 150mm biela mat</v>
      </c>
      <c r="C1004" s="209">
        <f t="shared" si="37"/>
        <v>0</v>
      </c>
      <c r="D1004" t="s">
        <v>4754</v>
      </c>
      <c r="E1004" t="s">
        <v>6185</v>
      </c>
      <c r="F1004" t="s">
        <v>6868</v>
      </c>
      <c r="G1004" t="s">
        <v>7371</v>
      </c>
      <c r="H1004" s="214">
        <v>15.12838</v>
      </c>
      <c r="I1004" s="425">
        <v>0</v>
      </c>
      <c r="J1004" s="91">
        <v>1.78494</v>
      </c>
      <c r="K1004" s="425">
        <v>163.11382</v>
      </c>
      <c r="L1004" s="542" t="s">
        <v>623</v>
      </c>
    </row>
    <row r="1005" spans="1:12" ht="15">
      <c r="A1005">
        <v>421953</v>
      </c>
      <c r="B1005" t="str">
        <f t="shared" si="36"/>
        <v>SEVROLL Elegant spod.ved. 150mm čierna lesk</v>
      </c>
      <c r="C1005" s="209">
        <f t="shared" si="37"/>
        <v>0</v>
      </c>
      <c r="D1005" t="s">
        <v>4755</v>
      </c>
      <c r="E1005" t="s">
        <v>6186</v>
      </c>
      <c r="F1005" t="s">
        <v>6869</v>
      </c>
      <c r="G1005" t="s">
        <v>7372</v>
      </c>
      <c r="H1005" s="214">
        <v>15.12838</v>
      </c>
      <c r="I1005" s="425">
        <v>0</v>
      </c>
      <c r="J1005" s="91">
        <v>1.78494</v>
      </c>
      <c r="K1005" s="425">
        <v>163.11382</v>
      </c>
      <c r="L1005" s="542" t="s">
        <v>623</v>
      </c>
    </row>
    <row r="1006" spans="1:12" ht="15">
      <c r="A1006">
        <v>421985</v>
      </c>
      <c r="B1006" t="e">
        <f t="shared" si="36"/>
        <v>#N/A</v>
      </c>
      <c r="C1006" s="209" t="e">
        <f t="shared" si="37"/>
        <v>#N/A</v>
      </c>
      <c r="D1006" t="s">
        <v>4756</v>
      </c>
      <c r="E1006" t="e">
        <v>#N/A</v>
      </c>
      <c r="F1006" t="e">
        <v>#N/A</v>
      </c>
      <c r="G1006" t="e">
        <v>#N/A</v>
      </c>
      <c r="H1006" s="214">
        <v>7691.0228999999999</v>
      </c>
      <c r="I1006" s="425" t="e">
        <v>#N/A</v>
      </c>
      <c r="J1006" s="91">
        <v>1323.05114</v>
      </c>
      <c r="K1006" s="425">
        <v>111935.51308999999</v>
      </c>
      <c r="L1006" s="542" t="s">
        <v>622</v>
      </c>
    </row>
    <row r="1007" spans="1:12" ht="15">
      <c r="A1007">
        <v>422007</v>
      </c>
      <c r="B1007" t="str">
        <f t="shared" si="36"/>
        <v>SEVROLL Elegant sp.ved. 1,7m čierna mat</v>
      </c>
      <c r="C1007" s="209">
        <f t="shared" si="37"/>
        <v>11.73865</v>
      </c>
      <c r="D1007" t="s">
        <v>4757</v>
      </c>
      <c r="E1007" t="s">
        <v>6187</v>
      </c>
      <c r="F1007" t="s">
        <v>6870</v>
      </c>
      <c r="G1007" t="s">
        <v>7373</v>
      </c>
      <c r="H1007" s="214">
        <v>315.27424000000002</v>
      </c>
      <c r="I1007" s="425">
        <v>11.73865</v>
      </c>
      <c r="J1007" s="91">
        <v>41.72</v>
      </c>
      <c r="K1007" s="425">
        <v>3572.1464099999998</v>
      </c>
      <c r="L1007" s="542" t="s">
        <v>621</v>
      </c>
    </row>
    <row r="1008" spans="1:12" ht="15">
      <c r="A1008">
        <v>422008</v>
      </c>
      <c r="B1008" t="str">
        <f t="shared" si="36"/>
        <v>SEVROLL Gemini horné vedenie 1,7m čierna mat</v>
      </c>
      <c r="C1008" s="209">
        <f t="shared" si="37"/>
        <v>21.35614</v>
      </c>
      <c r="D1008" t="s">
        <v>4758</v>
      </c>
      <c r="E1008" t="s">
        <v>6188</v>
      </c>
      <c r="F1008" t="s">
        <v>6871</v>
      </c>
      <c r="G1008" t="s">
        <v>7374</v>
      </c>
      <c r="H1008" s="214">
        <v>547.99360000000001</v>
      </c>
      <c r="I1008" s="425">
        <v>21.35614</v>
      </c>
      <c r="J1008" s="91">
        <v>76.52</v>
      </c>
      <c r="K1008" s="425">
        <v>6208.9226399999998</v>
      </c>
      <c r="L1008" s="542" t="s">
        <v>621</v>
      </c>
    </row>
    <row r="1009" spans="1:12" ht="15">
      <c r="A1009">
        <v>422009</v>
      </c>
      <c r="B1009" t="str">
        <f t="shared" si="36"/>
        <v>SEVROLL Pax nalepovacia úchytka čierna mat</v>
      </c>
      <c r="C1009" s="209">
        <f t="shared" si="37"/>
        <v>9.4246599999999994</v>
      </c>
      <c r="D1009" t="s">
        <v>4759</v>
      </c>
      <c r="E1009" t="s">
        <v>6189</v>
      </c>
      <c r="F1009" t="s">
        <v>6872</v>
      </c>
      <c r="G1009" t="s">
        <v>7375</v>
      </c>
      <c r="H1009" s="214">
        <v>271.86176</v>
      </c>
      <c r="I1009" s="425">
        <v>9.4246599999999994</v>
      </c>
      <c r="J1009" s="91">
        <v>32.31</v>
      </c>
      <c r="K1009" s="425">
        <v>3080.27072</v>
      </c>
      <c r="L1009" s="542" t="s">
        <v>622</v>
      </c>
    </row>
    <row r="1010" spans="1:12" ht="15">
      <c r="A1010">
        <v>422012</v>
      </c>
      <c r="B1010" t="str">
        <f t="shared" si="36"/>
        <v>SEVROLL Pax záslepka profilu (4 ks) čierna mat</v>
      </c>
      <c r="C1010" s="209">
        <f t="shared" si="37"/>
        <v>10.388820000000001</v>
      </c>
      <c r="D1010" t="s">
        <v>4760</v>
      </c>
      <c r="E1010" t="s">
        <v>6190</v>
      </c>
      <c r="F1010" t="s">
        <v>6873</v>
      </c>
      <c r="G1010" t="s">
        <v>7376</v>
      </c>
      <c r="H1010" s="214">
        <v>304.59904</v>
      </c>
      <c r="I1010" s="425">
        <v>10.388820000000001</v>
      </c>
      <c r="J1010" s="91">
        <v>36</v>
      </c>
      <c r="K1010" s="425">
        <v>3451.1933600000002</v>
      </c>
      <c r="L1010" s="542" t="s">
        <v>622</v>
      </c>
    </row>
    <row r="1011" spans="1:12" ht="15">
      <c r="A1011">
        <v>422013</v>
      </c>
      <c r="B1011" t="str">
        <f t="shared" si="36"/>
        <v>SEVROLL profil "U" pro lamino 18mm 3m čierna mat</v>
      </c>
      <c r="C1011" s="209">
        <f t="shared" si="37"/>
        <v>7.1588900000000004</v>
      </c>
      <c r="D1011" t="s">
        <v>4761</v>
      </c>
      <c r="E1011" t="s">
        <v>6191</v>
      </c>
      <c r="F1011" t="s">
        <v>6874</v>
      </c>
      <c r="G1011" t="s">
        <v>7377</v>
      </c>
      <c r="H1011" s="214">
        <v>192.15360000000001</v>
      </c>
      <c r="I1011" s="425">
        <v>7.1588900000000004</v>
      </c>
      <c r="J1011" s="91">
        <v>27.69</v>
      </c>
      <c r="K1011" s="425">
        <v>2177.1546899999998</v>
      </c>
      <c r="L1011" s="542" t="s">
        <v>622</v>
      </c>
    </row>
    <row r="1012" spans="1:12" ht="15">
      <c r="A1012">
        <v>422014</v>
      </c>
      <c r="B1012" t="str">
        <f t="shared" si="36"/>
        <v>SEVROLL uholník 17x11mm 1,7m čierna mat</v>
      </c>
      <c r="C1012" s="209">
        <f t="shared" si="37"/>
        <v>3.6638099999999998</v>
      </c>
      <c r="D1012" t="s">
        <v>4762</v>
      </c>
      <c r="E1012" t="s">
        <v>6192</v>
      </c>
      <c r="F1012" t="s">
        <v>6875</v>
      </c>
      <c r="G1012" t="s">
        <v>7378</v>
      </c>
      <c r="H1012" s="214">
        <v>96.788480000000007</v>
      </c>
      <c r="I1012" s="425">
        <v>3.6638099999999998</v>
      </c>
      <c r="J1012" s="91">
        <v>12.51</v>
      </c>
      <c r="K1012" s="425">
        <v>1096.6409000000001</v>
      </c>
      <c r="L1012" s="542" t="s">
        <v>621</v>
      </c>
    </row>
    <row r="1013" spans="1:12" ht="15">
      <c r="A1013">
        <v>422027</v>
      </c>
      <c r="B1013" t="str">
        <f t="shared" si="36"/>
        <v>SEVROLL spodná krycia lišta 1,7m 10mm čierny mat</v>
      </c>
      <c r="C1013" s="209">
        <f t="shared" si="37"/>
        <v>20.030419999999999</v>
      </c>
      <c r="D1013" t="s">
        <v>4763</v>
      </c>
      <c r="E1013" t="s">
        <v>6193</v>
      </c>
      <c r="F1013" t="s">
        <v>6876</v>
      </c>
      <c r="G1013" t="s">
        <v>7379</v>
      </c>
      <c r="H1013" s="214">
        <v>577.17247999999995</v>
      </c>
      <c r="I1013" s="425">
        <v>20.030419999999999</v>
      </c>
      <c r="J1013" s="91">
        <v>72.13</v>
      </c>
      <c r="K1013" s="425">
        <v>6539.5276199999998</v>
      </c>
      <c r="L1013" s="542" t="s">
        <v>622</v>
      </c>
    </row>
    <row r="1014" spans="1:12" ht="15">
      <c r="A1014">
        <v>422029</v>
      </c>
      <c r="B1014" t="str">
        <f t="shared" si="36"/>
        <v>SEVROLL spod.krycia lišta 2,35m 10mm čierna mat</v>
      </c>
      <c r="C1014" s="209">
        <f t="shared" si="37"/>
        <v>27.7196</v>
      </c>
      <c r="D1014" t="s">
        <v>4764</v>
      </c>
      <c r="E1014" t="s">
        <v>6194</v>
      </c>
      <c r="F1014" t="s">
        <v>6877</v>
      </c>
      <c r="G1014" t="s">
        <v>7380</v>
      </c>
      <c r="H1014" s="214">
        <v>798.50495999999998</v>
      </c>
      <c r="I1014" s="425">
        <v>27.7196</v>
      </c>
      <c r="J1014" s="91">
        <v>99.71</v>
      </c>
      <c r="K1014" s="425">
        <v>9047.2872800000005</v>
      </c>
      <c r="L1014" s="542" t="s">
        <v>622</v>
      </c>
    </row>
    <row r="1015" spans="1:12" ht="15">
      <c r="A1015">
        <v>422030</v>
      </c>
      <c r="B1015" t="str">
        <f t="shared" si="36"/>
        <v>SEVROLL spodná krycia lišta 3m 10mm čierna mat</v>
      </c>
      <c r="C1015" s="209">
        <f t="shared" si="37"/>
        <v>35.40878</v>
      </c>
      <c r="D1015" t="s">
        <v>4765</v>
      </c>
      <c r="E1015" t="s">
        <v>6195</v>
      </c>
      <c r="F1015" t="s">
        <v>6878</v>
      </c>
      <c r="G1015" t="s">
        <v>7381</v>
      </c>
      <c r="H1015" s="214">
        <v>1019.83744</v>
      </c>
      <c r="I1015" s="425">
        <v>35.40878</v>
      </c>
      <c r="J1015" s="91">
        <v>127.33</v>
      </c>
      <c r="K1015" s="425">
        <v>11555.046969999999</v>
      </c>
      <c r="L1015" s="542" t="s">
        <v>622</v>
      </c>
    </row>
    <row r="1016" spans="1:12" ht="15">
      <c r="A1016">
        <v>422032</v>
      </c>
      <c r="B1016" t="str">
        <f t="shared" si="36"/>
        <v>SEVROLL Pax spodná krycia lišta 3m 4mm čierna mat</v>
      </c>
      <c r="C1016" s="209">
        <f t="shared" si="37"/>
        <v>38.638710000000003</v>
      </c>
      <c r="D1016" t="s">
        <v>4766</v>
      </c>
      <c r="E1016" t="s">
        <v>6196</v>
      </c>
      <c r="F1016" t="s">
        <v>6879</v>
      </c>
      <c r="G1016" t="s">
        <v>7382</v>
      </c>
      <c r="H1016" s="214">
        <v>1132.9945600000001</v>
      </c>
      <c r="I1016" s="425">
        <v>38.638710000000003</v>
      </c>
      <c r="J1016" s="91">
        <v>133.88999999999999</v>
      </c>
      <c r="K1016" s="425">
        <v>12837.14918</v>
      </c>
      <c r="L1016" s="542" t="s">
        <v>622</v>
      </c>
    </row>
    <row r="1017" spans="1:12" ht="15">
      <c r="A1017">
        <v>422033</v>
      </c>
      <c r="B1017" t="str">
        <f t="shared" si="36"/>
        <v/>
      </c>
      <c r="C1017" s="209">
        <f t="shared" si="37"/>
        <v>43.411299999999997</v>
      </c>
      <c r="D1017" t="s">
        <v>4767</v>
      </c>
      <c r="E1017" t="s">
        <v>6197</v>
      </c>
      <c r="F1017" t="s">
        <v>84</v>
      </c>
      <c r="G1017" t="s">
        <v>7383</v>
      </c>
      <c r="H1017" s="214">
        <v>1271.0604800000001</v>
      </c>
      <c r="I1017" s="425">
        <v>43.411299999999997</v>
      </c>
      <c r="J1017" s="91">
        <v>150.21</v>
      </c>
      <c r="K1017" s="425">
        <v>14401.475130000001</v>
      </c>
      <c r="L1017" s="542" t="s">
        <v>622</v>
      </c>
    </row>
    <row r="1018" spans="1:12" ht="15">
      <c r="A1018">
        <v>422036</v>
      </c>
      <c r="B1018" t="str">
        <f t="shared" si="36"/>
        <v/>
      </c>
      <c r="C1018" s="209">
        <f t="shared" si="37"/>
        <v>43.411299999999997</v>
      </c>
      <c r="D1018" t="s">
        <v>4768</v>
      </c>
      <c r="E1018" t="s">
        <v>6198</v>
      </c>
      <c r="F1018" t="s">
        <v>84</v>
      </c>
      <c r="G1018" t="s">
        <v>7384</v>
      </c>
      <c r="H1018" s="214">
        <v>1271.0604800000001</v>
      </c>
      <c r="I1018" s="425">
        <v>43.411299999999997</v>
      </c>
      <c r="J1018" s="91">
        <v>150.21</v>
      </c>
      <c r="K1018" s="425">
        <v>14401.475130000001</v>
      </c>
      <c r="L1018" s="542" t="s">
        <v>622</v>
      </c>
    </row>
    <row r="1019" spans="1:12" ht="15">
      <c r="A1019">
        <v>422043</v>
      </c>
      <c r="B1019" t="str">
        <f t="shared" si="36"/>
        <v>SEVROLL horná vodiaca lišta 1,7m čierna mat</v>
      </c>
      <c r="C1019" s="209">
        <f t="shared" si="37"/>
        <v>12.41356</v>
      </c>
      <c r="D1019" t="s">
        <v>4769</v>
      </c>
      <c r="E1019" t="s">
        <v>6199</v>
      </c>
      <c r="F1019" t="s">
        <v>6880</v>
      </c>
      <c r="G1019" t="s">
        <v>7385</v>
      </c>
      <c r="H1019" s="214">
        <v>333.06623999999999</v>
      </c>
      <c r="I1019" s="425">
        <v>12.41356</v>
      </c>
      <c r="J1019" s="91">
        <v>61.48</v>
      </c>
      <c r="K1019" s="425">
        <v>3773.7348200000001</v>
      </c>
      <c r="L1019" s="542" t="s">
        <v>622</v>
      </c>
    </row>
    <row r="1020" spans="1:12" ht="15">
      <c r="A1020">
        <v>283627</v>
      </c>
      <c r="B1020" t="e">
        <f t="shared" si="36"/>
        <v>#N/A</v>
      </c>
      <c r="C1020" s="209" t="e">
        <f t="shared" si="37"/>
        <v>#N/A</v>
      </c>
      <c r="D1020" t="s">
        <v>4770</v>
      </c>
      <c r="E1020" t="e">
        <v>#N/A</v>
      </c>
      <c r="F1020" t="e">
        <v>#N/A</v>
      </c>
      <c r="G1020" t="e">
        <v>#N/A</v>
      </c>
      <c r="H1020" s="214">
        <v>116.72499999999999</v>
      </c>
      <c r="I1020" s="425" t="e">
        <v>#N/A</v>
      </c>
      <c r="J1020" s="91">
        <v>26.317679999999999</v>
      </c>
      <c r="K1020" s="425">
        <v>2243.3061400000001</v>
      </c>
      <c r="L1020" s="542" t="s">
        <v>622</v>
      </c>
    </row>
    <row r="1021" spans="1:12" ht="15">
      <c r="A1021">
        <v>283628</v>
      </c>
      <c r="B1021" t="e">
        <f t="shared" si="36"/>
        <v>#N/A</v>
      </c>
      <c r="C1021" s="209" t="e">
        <f t="shared" si="37"/>
        <v>#N/A</v>
      </c>
      <c r="D1021" t="s">
        <v>4771</v>
      </c>
      <c r="E1021" t="e">
        <v>#N/A</v>
      </c>
      <c r="F1021" t="e">
        <v>#N/A</v>
      </c>
      <c r="G1021" t="e">
        <v>#N/A</v>
      </c>
      <c r="H1021" s="214">
        <v>116.72499999999999</v>
      </c>
      <c r="I1021" s="425" t="e">
        <v>#N/A</v>
      </c>
      <c r="J1021" s="91">
        <v>26.317679999999999</v>
      </c>
      <c r="K1021" s="425">
        <v>2243.3061400000001</v>
      </c>
      <c r="L1021" s="542" t="s">
        <v>622</v>
      </c>
    </row>
    <row r="1022" spans="1:12" ht="15">
      <c r="A1022">
        <v>283629</v>
      </c>
      <c r="B1022" t="e">
        <f t="shared" si="36"/>
        <v>#N/A</v>
      </c>
      <c r="C1022" s="209" t="e">
        <f t="shared" si="37"/>
        <v>#N/A</v>
      </c>
      <c r="D1022" t="s">
        <v>4772</v>
      </c>
      <c r="E1022" t="e">
        <v>#N/A</v>
      </c>
      <c r="F1022" t="e">
        <v>#N/A</v>
      </c>
      <c r="G1022" t="e">
        <v>#N/A</v>
      </c>
      <c r="H1022" s="214">
        <v>444.85</v>
      </c>
      <c r="I1022" s="425" t="e">
        <v>#N/A</v>
      </c>
      <c r="J1022" s="91">
        <v>100.29918000000001</v>
      </c>
      <c r="K1022" s="425">
        <v>8549.45183</v>
      </c>
      <c r="L1022" s="542" t="s">
        <v>622</v>
      </c>
    </row>
    <row r="1023" spans="1:12" ht="15">
      <c r="A1023">
        <v>283631</v>
      </c>
      <c r="B1023" t="e">
        <f t="shared" si="36"/>
        <v>#N/A</v>
      </c>
      <c r="C1023" s="209" t="e">
        <f t="shared" si="37"/>
        <v>#N/A</v>
      </c>
      <c r="D1023" t="s">
        <v>4773</v>
      </c>
      <c r="E1023" t="e">
        <v>#N/A</v>
      </c>
      <c r="F1023" t="e">
        <v>#N/A</v>
      </c>
      <c r="G1023" t="e">
        <v>#N/A</v>
      </c>
      <c r="H1023" s="214">
        <v>169.83750000000001</v>
      </c>
      <c r="I1023" s="425" t="e">
        <v>#N/A</v>
      </c>
      <c r="J1023" s="91">
        <v>38.292819999999999</v>
      </c>
      <c r="K1023" s="425">
        <v>3264.06104</v>
      </c>
      <c r="L1023" s="542" t="s">
        <v>622</v>
      </c>
    </row>
    <row r="1024" spans="1:12" ht="15">
      <c r="A1024">
        <v>283640</v>
      </c>
      <c r="B1024" t="e">
        <f t="shared" si="36"/>
        <v>#N/A</v>
      </c>
      <c r="C1024" s="209" t="e">
        <f t="shared" si="37"/>
        <v>#N/A</v>
      </c>
      <c r="D1024" t="s">
        <v>4774</v>
      </c>
      <c r="E1024" t="e">
        <v>#N/A</v>
      </c>
      <c r="F1024" t="e">
        <v>#N/A</v>
      </c>
      <c r="G1024" t="e">
        <v>#N/A</v>
      </c>
      <c r="H1024" s="214">
        <v>102.02500000000001</v>
      </c>
      <c r="I1024" s="425" t="e">
        <v>#N/A</v>
      </c>
      <c r="J1024" s="91">
        <v>23.003299999999999</v>
      </c>
      <c r="K1024" s="425">
        <v>1960.7909</v>
      </c>
      <c r="L1024" s="542" t="s">
        <v>622</v>
      </c>
    </row>
    <row r="1025" spans="1:12" ht="15">
      <c r="A1025">
        <v>283641</v>
      </c>
      <c r="B1025" t="e">
        <f t="shared" si="36"/>
        <v>#N/A</v>
      </c>
      <c r="C1025" s="209" t="e">
        <f t="shared" si="37"/>
        <v>#N/A</v>
      </c>
      <c r="D1025" t="s">
        <v>4775</v>
      </c>
      <c r="E1025" t="e">
        <v>#N/A</v>
      </c>
      <c r="F1025" t="e">
        <v>#N/A</v>
      </c>
      <c r="G1025" t="e">
        <v>#N/A</v>
      </c>
      <c r="H1025" s="214">
        <v>102.02500000000001</v>
      </c>
      <c r="I1025" s="425" t="e">
        <v>#N/A</v>
      </c>
      <c r="J1025" s="91">
        <v>23.003299999999999</v>
      </c>
      <c r="K1025" s="425">
        <v>1960.7909</v>
      </c>
      <c r="L1025" s="542" t="s">
        <v>622</v>
      </c>
    </row>
    <row r="1026" spans="1:12" ht="15">
      <c r="A1026">
        <v>283976</v>
      </c>
      <c r="B1026" t="str">
        <f t="shared" si="36"/>
        <v>SEVROLL Maxim horné vedenie 3,5m RAL9003 les</v>
      </c>
      <c r="C1026" s="209" t="e">
        <f t="shared" si="37"/>
        <v>#N/A</v>
      </c>
      <c r="D1026" t="s">
        <v>4776</v>
      </c>
      <c r="E1026" t="s">
        <v>6200</v>
      </c>
      <c r="F1026" t="s">
        <v>6881</v>
      </c>
      <c r="G1026" t="s">
        <v>7386</v>
      </c>
      <c r="H1026" s="214">
        <v>0</v>
      </c>
      <c r="I1026" s="425" t="e">
        <v>#N/A</v>
      </c>
      <c r="J1026" s="91">
        <v>0</v>
      </c>
      <c r="K1026" s="425">
        <v>0</v>
      </c>
      <c r="L1026" s="542" t="s">
        <v>622</v>
      </c>
    </row>
    <row r="1027" spans="1:12" ht="15">
      <c r="A1027">
        <v>283982</v>
      </c>
      <c r="B1027" t="str">
        <f t="shared" ref="B1027:B1083" si="38">IF($A$2=1,D1027,IF($A$2=2,F1027,IF($A$2=3,G1027,IF($A$2=4,E1027,"zadat jazyk"))))</f>
        <v>SEVROLL Maxim II spodné vedenie 2,5m RAL9003 lesk</v>
      </c>
      <c r="C1027" s="209" t="e">
        <f t="shared" ref="C1027:C1083" si="39">IF($A$2=1,H1027,IF($A$2=2,I1027,IF($A$2=3,J1027,IF($A$2=4,K1027,"zadat jazyk"))))</f>
        <v>#N/A</v>
      </c>
      <c r="D1027" t="s">
        <v>4777</v>
      </c>
      <c r="E1027" t="s">
        <v>6201</v>
      </c>
      <c r="F1027" t="s">
        <v>6882</v>
      </c>
      <c r="G1027" t="s">
        <v>7387</v>
      </c>
      <c r="H1027" s="214">
        <v>0</v>
      </c>
      <c r="I1027" s="425" t="e">
        <v>#N/A</v>
      </c>
      <c r="J1027" s="91">
        <v>0</v>
      </c>
      <c r="K1027" s="425">
        <v>0</v>
      </c>
      <c r="L1027" s="542" t="s">
        <v>622</v>
      </c>
    </row>
    <row r="1028" spans="1:12" ht="15">
      <c r="A1028">
        <v>283984</v>
      </c>
      <c r="B1028" t="str">
        <f t="shared" si="38"/>
        <v>SEVROLL Maxim II maska 2,5m RAL9003 lesk</v>
      </c>
      <c r="C1028" s="209" t="e">
        <f t="shared" si="39"/>
        <v>#N/A</v>
      </c>
      <c r="D1028" t="s">
        <v>4778</v>
      </c>
      <c r="E1028" t="s">
        <v>6202</v>
      </c>
      <c r="F1028" t="s">
        <v>4778</v>
      </c>
      <c r="G1028" t="s">
        <v>7388</v>
      </c>
      <c r="H1028" s="214">
        <v>0</v>
      </c>
      <c r="I1028" s="425" t="e">
        <v>#N/A</v>
      </c>
      <c r="J1028" s="91">
        <v>0</v>
      </c>
      <c r="K1028" s="425">
        <v>0</v>
      </c>
      <c r="L1028" s="542" t="s">
        <v>622</v>
      </c>
    </row>
    <row r="1029" spans="1:12" ht="15">
      <c r="A1029">
        <v>283986</v>
      </c>
      <c r="B1029" t="str">
        <f t="shared" si="38"/>
        <v>SEVROLL Maxim vodiaca lišta 3,5m RAL9003 lesk</v>
      </c>
      <c r="C1029" s="209" t="e">
        <f t="shared" si="39"/>
        <v>#N/A</v>
      </c>
      <c r="D1029" t="s">
        <v>4779</v>
      </c>
      <c r="E1029" t="s">
        <v>6203</v>
      </c>
      <c r="F1029" t="s">
        <v>6883</v>
      </c>
      <c r="G1029" t="s">
        <v>7389</v>
      </c>
      <c r="H1029" s="214">
        <v>0</v>
      </c>
      <c r="I1029" s="425" t="e">
        <v>#N/A</v>
      </c>
      <c r="J1029" s="91">
        <v>0</v>
      </c>
      <c r="K1029" s="425">
        <v>0</v>
      </c>
      <c r="L1029" s="542" t="s">
        <v>622</v>
      </c>
    </row>
    <row r="1030" spans="1:12" ht="15">
      <c r="A1030">
        <v>283987</v>
      </c>
      <c r="B1030" t="str">
        <f t="shared" si="38"/>
        <v>SEVROLL Maxim vodiaca lišta 2,5m RAL9003 lesk</v>
      </c>
      <c r="C1030" s="209" t="e">
        <f t="shared" si="39"/>
        <v>#N/A</v>
      </c>
      <c r="D1030" t="s">
        <v>4780</v>
      </c>
      <c r="E1030" t="s">
        <v>6204</v>
      </c>
      <c r="F1030" t="s">
        <v>6884</v>
      </c>
      <c r="G1030" t="s">
        <v>7390</v>
      </c>
      <c r="H1030" s="214">
        <v>0</v>
      </c>
      <c r="I1030" s="425" t="e">
        <v>#N/A</v>
      </c>
      <c r="J1030" s="91">
        <v>0</v>
      </c>
      <c r="K1030" s="425">
        <v>0</v>
      </c>
      <c r="L1030" s="542" t="s">
        <v>622</v>
      </c>
    </row>
    <row r="1031" spans="1:12" ht="15">
      <c r="A1031">
        <v>283989</v>
      </c>
      <c r="B1031" t="str">
        <f t="shared" si="38"/>
        <v>SEVROLL Maxim spodná krycia lišta 2,5m RAL9003 lesk</v>
      </c>
      <c r="C1031" s="209" t="e">
        <f t="shared" si="39"/>
        <v>#N/A</v>
      </c>
      <c r="D1031" t="s">
        <v>4781</v>
      </c>
      <c r="E1031" t="s">
        <v>6205</v>
      </c>
      <c r="F1031" t="s">
        <v>6885</v>
      </c>
      <c r="G1031" t="s">
        <v>7391</v>
      </c>
      <c r="H1031" s="214">
        <v>0</v>
      </c>
      <c r="I1031" s="425" t="e">
        <v>#N/A</v>
      </c>
      <c r="J1031" s="91">
        <v>0</v>
      </c>
      <c r="K1031" s="425">
        <v>0</v>
      </c>
      <c r="L1031" s="542" t="s">
        <v>622</v>
      </c>
    </row>
    <row r="1032" spans="1:12" ht="15">
      <c r="A1032">
        <v>284383</v>
      </c>
      <c r="B1032" t="e">
        <f t="shared" si="38"/>
        <v>#N/A</v>
      </c>
      <c r="C1032" s="209" t="e">
        <f t="shared" si="39"/>
        <v>#N/A</v>
      </c>
      <c r="D1032" t="s">
        <v>4782</v>
      </c>
      <c r="E1032" t="e">
        <v>#N/A</v>
      </c>
      <c r="F1032" t="e">
        <v>#N/A</v>
      </c>
      <c r="G1032" t="e">
        <v>#N/A</v>
      </c>
      <c r="H1032" s="214">
        <v>167.21250000000001</v>
      </c>
      <c r="I1032" s="425" t="e">
        <v>#N/A</v>
      </c>
      <c r="J1032" s="91">
        <v>37.700969999999998</v>
      </c>
      <c r="K1032" s="425">
        <v>3213.6117300000001</v>
      </c>
      <c r="L1032" s="542" t="s">
        <v>622</v>
      </c>
    </row>
    <row r="1033" spans="1:12" ht="15">
      <c r="A1033">
        <v>284385</v>
      </c>
      <c r="B1033" t="e">
        <f t="shared" si="38"/>
        <v>#N/A</v>
      </c>
      <c r="C1033" s="209" t="e">
        <f t="shared" si="39"/>
        <v>#N/A</v>
      </c>
      <c r="D1033" t="s">
        <v>4783</v>
      </c>
      <c r="E1033" t="e">
        <v>#N/A</v>
      </c>
      <c r="F1033" t="e">
        <v>#N/A</v>
      </c>
      <c r="G1033" t="e">
        <v>#N/A</v>
      </c>
      <c r="H1033" s="214">
        <v>640.9375</v>
      </c>
      <c r="I1033" s="425" t="e">
        <v>#N/A</v>
      </c>
      <c r="J1033" s="91">
        <v>144.51052000000001</v>
      </c>
      <c r="K1033" s="425">
        <v>12318.00423</v>
      </c>
      <c r="L1033" s="542" t="s">
        <v>622</v>
      </c>
    </row>
    <row r="1034" spans="1:12" ht="15">
      <c r="A1034">
        <v>284386</v>
      </c>
      <c r="B1034" t="e">
        <f t="shared" si="38"/>
        <v>#N/A</v>
      </c>
      <c r="C1034" s="209" t="e">
        <f t="shared" si="39"/>
        <v>#N/A</v>
      </c>
      <c r="D1034" t="s">
        <v>4784</v>
      </c>
      <c r="E1034" t="e">
        <v>#N/A</v>
      </c>
      <c r="F1034" t="e">
        <v>#N/A</v>
      </c>
      <c r="G1034" t="e">
        <v>#N/A</v>
      </c>
      <c r="H1034" s="214">
        <v>244.82499999999999</v>
      </c>
      <c r="I1034" s="425" t="e">
        <v>#N/A</v>
      </c>
      <c r="J1034" s="91">
        <v>55.200060000000001</v>
      </c>
      <c r="K1034" s="425">
        <v>4705.2254800000001</v>
      </c>
      <c r="L1034" s="542" t="s">
        <v>622</v>
      </c>
    </row>
    <row r="1035" spans="1:12" ht="15">
      <c r="A1035">
        <v>284387</v>
      </c>
      <c r="B1035" t="e">
        <f t="shared" si="38"/>
        <v>#N/A</v>
      </c>
      <c r="C1035" s="209" t="e">
        <f t="shared" si="39"/>
        <v>#N/A</v>
      </c>
      <c r="D1035" t="s">
        <v>4785</v>
      </c>
      <c r="E1035" t="e">
        <v>#N/A</v>
      </c>
      <c r="F1035" t="e">
        <v>#N/A</v>
      </c>
      <c r="G1035" t="e">
        <v>#N/A</v>
      </c>
      <c r="H1035" s="214">
        <v>102.02500000000001</v>
      </c>
      <c r="I1035" s="425" t="e">
        <v>#N/A</v>
      </c>
      <c r="J1035" s="91">
        <v>23.003299999999999</v>
      </c>
      <c r="K1035" s="425">
        <v>1960.7909</v>
      </c>
      <c r="L1035" s="542" t="s">
        <v>622</v>
      </c>
    </row>
    <row r="1036" spans="1:12" ht="15">
      <c r="A1036">
        <v>336187</v>
      </c>
      <c r="B1036" t="str">
        <f t="shared" si="38"/>
        <v>SEVROLL vzorky pro HU - Victoria biela</v>
      </c>
      <c r="C1036" s="209" t="e">
        <f t="shared" si="39"/>
        <v>#N/A</v>
      </c>
      <c r="D1036" t="s">
        <v>4786</v>
      </c>
      <c r="E1036" t="s">
        <v>6206</v>
      </c>
      <c r="F1036" t="s">
        <v>6886</v>
      </c>
      <c r="G1036" t="s">
        <v>7392</v>
      </c>
      <c r="H1036" s="214">
        <v>0.42736000000000002</v>
      </c>
      <c r="I1036" s="425" t="e">
        <v>#N/A</v>
      </c>
      <c r="J1036" s="91">
        <v>5.4179999999999999E-2</v>
      </c>
      <c r="K1036" s="425">
        <v>4.3791000000000002</v>
      </c>
      <c r="L1036" s="542" t="s">
        <v>622</v>
      </c>
    </row>
    <row r="1037" spans="1:12" ht="15">
      <c r="A1037">
        <v>336386</v>
      </c>
      <c r="B1037" t="e">
        <f t="shared" si="38"/>
        <v>#N/A</v>
      </c>
      <c r="C1037" s="209" t="e">
        <f t="shared" si="39"/>
        <v>#N/A</v>
      </c>
      <c r="D1037" t="s">
        <v>4787</v>
      </c>
      <c r="E1037" t="e">
        <v>#N/A</v>
      </c>
      <c r="F1037" t="e">
        <v>#N/A</v>
      </c>
      <c r="G1037" t="e">
        <v>#N/A</v>
      </c>
      <c r="H1037" s="214">
        <v>579.45208000000002</v>
      </c>
      <c r="I1037" s="425" t="e">
        <v>#N/A</v>
      </c>
      <c r="J1037" s="91">
        <v>52.77516</v>
      </c>
      <c r="K1037" s="425">
        <v>4265.2454799999996</v>
      </c>
      <c r="L1037" s="542" t="s">
        <v>624</v>
      </c>
    </row>
    <row r="1038" spans="1:12" ht="15">
      <c r="A1038">
        <v>336387</v>
      </c>
      <c r="B1038" t="e">
        <f t="shared" si="38"/>
        <v>#N/A</v>
      </c>
      <c r="C1038" s="209" t="e">
        <f t="shared" si="39"/>
        <v>#N/A</v>
      </c>
      <c r="D1038" t="s">
        <v>4788</v>
      </c>
      <c r="E1038" t="e">
        <v>#N/A</v>
      </c>
      <c r="F1038" t="e">
        <v>#N/A</v>
      </c>
      <c r="G1038" t="e">
        <v>#N/A</v>
      </c>
      <c r="H1038" s="214">
        <v>1259.4456399999999</v>
      </c>
      <c r="I1038" s="425" t="e">
        <v>#N/A</v>
      </c>
      <c r="J1038" s="91">
        <v>114.70740000000001</v>
      </c>
      <c r="K1038" s="425">
        <v>9270.5591999999997</v>
      </c>
      <c r="L1038" s="542" t="s">
        <v>624</v>
      </c>
    </row>
    <row r="1039" spans="1:12" ht="15">
      <c r="A1039">
        <v>336389</v>
      </c>
      <c r="B1039" t="e">
        <f t="shared" si="38"/>
        <v>#N/A</v>
      </c>
      <c r="C1039" s="209" t="e">
        <f t="shared" si="39"/>
        <v>#N/A</v>
      </c>
      <c r="D1039" t="s">
        <v>4789</v>
      </c>
      <c r="E1039" t="e">
        <v>#N/A</v>
      </c>
      <c r="F1039" t="e">
        <v>#N/A</v>
      </c>
      <c r="G1039" t="e">
        <v>#N/A</v>
      </c>
      <c r="H1039" s="214">
        <v>375.58949999999999</v>
      </c>
      <c r="I1039" s="425" t="e">
        <v>#N/A</v>
      </c>
      <c r="J1039" s="91">
        <v>70.141940000000005</v>
      </c>
      <c r="K1039" s="425">
        <v>5484.8647099999998</v>
      </c>
      <c r="L1039" s="542" t="s">
        <v>622</v>
      </c>
    </row>
    <row r="1040" spans="1:12" ht="15">
      <c r="A1040">
        <v>336390</v>
      </c>
      <c r="B1040" t="e">
        <f t="shared" si="38"/>
        <v>#N/A</v>
      </c>
      <c r="C1040" s="209" t="e">
        <f t="shared" si="39"/>
        <v>#N/A</v>
      </c>
      <c r="D1040" t="s">
        <v>4790</v>
      </c>
      <c r="E1040" t="e">
        <v>#N/A</v>
      </c>
      <c r="F1040" t="e">
        <v>#N/A</v>
      </c>
      <c r="G1040" t="e">
        <v>#N/A</v>
      </c>
      <c r="H1040" s="214">
        <v>375.58949999999999</v>
      </c>
      <c r="I1040" s="425" t="e">
        <v>#N/A</v>
      </c>
      <c r="J1040" s="91">
        <v>70.141940000000005</v>
      </c>
      <c r="K1040" s="425">
        <v>5484.8647099999998</v>
      </c>
      <c r="L1040" s="542" t="s">
        <v>622</v>
      </c>
    </row>
    <row r="1041" spans="1:12" ht="15">
      <c r="A1041">
        <v>315067</v>
      </c>
      <c r="B1041" t="e">
        <f t="shared" si="38"/>
        <v>#N/A</v>
      </c>
      <c r="C1041" s="209" t="e">
        <f t="shared" si="39"/>
        <v>#N/A</v>
      </c>
      <c r="D1041" t="s">
        <v>4791</v>
      </c>
      <c r="E1041" t="e">
        <v>#N/A</v>
      </c>
      <c r="F1041" t="e">
        <v>#N/A</v>
      </c>
      <c r="G1041" t="e">
        <v>#N/A</v>
      </c>
      <c r="H1041" s="214">
        <v>5319.1058700000003</v>
      </c>
      <c r="I1041" s="425" t="e">
        <v>#N/A</v>
      </c>
      <c r="J1041" s="91">
        <v>621.24059</v>
      </c>
      <c r="K1041" s="425">
        <v>0</v>
      </c>
      <c r="L1041" s="542" t="s">
        <v>622</v>
      </c>
    </row>
    <row r="1042" spans="1:12" ht="15">
      <c r="A1042">
        <v>386764</v>
      </c>
      <c r="B1042" t="str">
        <f t="shared" si="38"/>
        <v/>
      </c>
      <c r="C1042" s="209" t="e">
        <f t="shared" si="39"/>
        <v>#N/A</v>
      </c>
      <c r="D1042" t="s">
        <v>4792</v>
      </c>
      <c r="E1042" t="s">
        <v>6207</v>
      </c>
      <c r="F1042" t="s">
        <v>84</v>
      </c>
      <c r="G1042" t="s">
        <v>84</v>
      </c>
      <c r="H1042" s="214">
        <v>0</v>
      </c>
      <c r="I1042" s="425" t="e">
        <v>#N/A</v>
      </c>
      <c r="J1042" s="91">
        <v>0</v>
      </c>
      <c r="K1042" s="425">
        <v>0</v>
      </c>
      <c r="L1042" s="542" t="s">
        <v>622</v>
      </c>
    </row>
    <row r="1043" spans="1:12" ht="15">
      <c r="A1043">
        <v>387239</v>
      </c>
      <c r="B1043" t="str">
        <f t="shared" si="38"/>
        <v/>
      </c>
      <c r="C1043" s="209" t="e">
        <f t="shared" si="39"/>
        <v>#N/A</v>
      </c>
      <c r="D1043" t="s">
        <v>4793</v>
      </c>
      <c r="E1043" t="s">
        <v>84</v>
      </c>
      <c r="F1043" t="s">
        <v>84</v>
      </c>
      <c r="G1043" t="s">
        <v>84</v>
      </c>
      <c r="H1043" s="214">
        <v>0.74365000000000003</v>
      </c>
      <c r="I1043" s="425" t="e">
        <v>#N/A</v>
      </c>
      <c r="J1043" s="91">
        <v>5.7369999999999997E-2</v>
      </c>
      <c r="K1043" s="425">
        <v>4.3791000000000002</v>
      </c>
      <c r="L1043" s="542" t="s">
        <v>624</v>
      </c>
    </row>
    <row r="1044" spans="1:12" ht="15">
      <c r="A1044">
        <v>387290</v>
      </c>
      <c r="B1044" t="e">
        <f t="shared" si="38"/>
        <v>#N/A</v>
      </c>
      <c r="C1044" s="209" t="e">
        <f t="shared" si="39"/>
        <v>#N/A</v>
      </c>
      <c r="D1044" t="s">
        <v>4794</v>
      </c>
      <c r="E1044" t="e">
        <v>#N/A</v>
      </c>
      <c r="F1044" t="e">
        <v>#N/A</v>
      </c>
      <c r="G1044" t="e">
        <v>#N/A</v>
      </c>
      <c r="H1044" s="214">
        <v>910.75639000000001</v>
      </c>
      <c r="I1044" s="425" t="e">
        <v>#N/A</v>
      </c>
      <c r="J1044" s="91">
        <v>170.08523</v>
      </c>
      <c r="K1044" s="425">
        <v>13300.09376</v>
      </c>
      <c r="L1044" s="542" t="s">
        <v>622</v>
      </c>
    </row>
    <row r="1045" spans="1:12" ht="15">
      <c r="A1045">
        <v>387397</v>
      </c>
      <c r="B1045" t="str">
        <f t="shared" si="38"/>
        <v/>
      </c>
      <c r="C1045" s="209">
        <f t="shared" si="39"/>
        <v>0</v>
      </c>
      <c r="D1045" t="s">
        <v>4795</v>
      </c>
      <c r="E1045" t="s">
        <v>6208</v>
      </c>
      <c r="F1045" t="s">
        <v>84</v>
      </c>
      <c r="G1045" t="s">
        <v>84</v>
      </c>
      <c r="H1045" s="214">
        <v>0</v>
      </c>
      <c r="I1045" s="425">
        <v>0</v>
      </c>
      <c r="J1045" s="91">
        <v>337.71355999999997</v>
      </c>
      <c r="K1045" s="425">
        <v>42500</v>
      </c>
      <c r="L1045" s="542" t="s">
        <v>624</v>
      </c>
    </row>
    <row r="1046" spans="1:12" ht="15">
      <c r="A1046">
        <v>408419</v>
      </c>
      <c r="B1046" t="e">
        <f t="shared" si="38"/>
        <v>#N/A</v>
      </c>
      <c r="C1046" s="209" t="e">
        <f t="shared" si="39"/>
        <v>#N/A</v>
      </c>
      <c r="D1046" t="s">
        <v>4796</v>
      </c>
      <c r="E1046" t="e">
        <v>#N/A</v>
      </c>
      <c r="F1046" t="e">
        <v>#N/A</v>
      </c>
      <c r="G1046" t="e">
        <v>#N/A</v>
      </c>
      <c r="H1046" s="214">
        <v>13.2</v>
      </c>
      <c r="I1046" s="425" t="e">
        <v>#N/A</v>
      </c>
      <c r="J1046" s="91">
        <v>2.2603399999999998</v>
      </c>
      <c r="K1046" s="425">
        <v>165.36171999999999</v>
      </c>
      <c r="L1046" s="542" t="s">
        <v>622</v>
      </c>
    </row>
    <row r="1047" spans="1:12" ht="15">
      <c r="A1047">
        <v>408420</v>
      </c>
      <c r="B1047" t="e">
        <f t="shared" si="38"/>
        <v>#N/A</v>
      </c>
      <c r="C1047" s="209" t="e">
        <f t="shared" si="39"/>
        <v>#N/A</v>
      </c>
      <c r="D1047" t="s">
        <v>4797</v>
      </c>
      <c r="E1047" t="e">
        <v>#N/A</v>
      </c>
      <c r="F1047" t="e">
        <v>#N/A</v>
      </c>
      <c r="G1047" t="e">
        <v>#N/A</v>
      </c>
      <c r="H1047" s="214">
        <v>24</v>
      </c>
      <c r="I1047" s="425" t="e">
        <v>#N/A</v>
      </c>
      <c r="J1047" s="91">
        <v>4.1097099999999998</v>
      </c>
      <c r="K1047" s="425">
        <v>300.65768000000003</v>
      </c>
      <c r="L1047" s="542" t="s">
        <v>622</v>
      </c>
    </row>
    <row r="1048" spans="1:12" ht="15">
      <c r="A1048">
        <v>299606</v>
      </c>
      <c r="B1048" t="e">
        <f t="shared" si="38"/>
        <v>#N/A</v>
      </c>
      <c r="C1048" s="209" t="e">
        <f t="shared" si="39"/>
        <v>#N/A</v>
      </c>
      <c r="D1048" t="s">
        <v>4798</v>
      </c>
      <c r="E1048" t="e">
        <v>#N/A</v>
      </c>
      <c r="F1048" t="e">
        <v>#N/A</v>
      </c>
      <c r="G1048" t="e">
        <v>#N/A</v>
      </c>
      <c r="H1048" s="214">
        <v>1104.0463500000001</v>
      </c>
      <c r="I1048" s="425" t="e">
        <v>#N/A</v>
      </c>
      <c r="J1048" s="91">
        <v>246.92907</v>
      </c>
      <c r="K1048" s="425">
        <v>19737.099460000001</v>
      </c>
      <c r="L1048" s="542" t="s">
        <v>622</v>
      </c>
    </row>
    <row r="1049" spans="1:12" ht="15">
      <c r="A1049">
        <v>299607</v>
      </c>
      <c r="B1049" t="e">
        <f t="shared" si="38"/>
        <v>#N/A</v>
      </c>
      <c r="C1049" s="209" t="e">
        <f t="shared" si="39"/>
        <v>#N/A</v>
      </c>
      <c r="D1049" t="s">
        <v>4799</v>
      </c>
      <c r="E1049" t="e">
        <v>#N/A</v>
      </c>
      <c r="F1049" t="e">
        <v>#N/A</v>
      </c>
      <c r="G1049" t="e">
        <v>#N/A</v>
      </c>
      <c r="H1049" s="214">
        <v>281.48752999999999</v>
      </c>
      <c r="I1049" s="425" t="e">
        <v>#N/A</v>
      </c>
      <c r="J1049" s="91">
        <v>62.957009999999997</v>
      </c>
      <c r="K1049" s="425">
        <v>5032.1685100000004</v>
      </c>
      <c r="L1049" s="542" t="s">
        <v>622</v>
      </c>
    </row>
    <row r="1050" spans="1:12" ht="15">
      <c r="A1050">
        <v>299608</v>
      </c>
      <c r="B1050" t="e">
        <f t="shared" si="38"/>
        <v>#N/A</v>
      </c>
      <c r="C1050" s="209" t="e">
        <f t="shared" si="39"/>
        <v>#N/A</v>
      </c>
      <c r="D1050" t="s">
        <v>4800</v>
      </c>
      <c r="E1050" t="e">
        <v>#N/A</v>
      </c>
      <c r="F1050" t="e">
        <v>#N/A</v>
      </c>
      <c r="G1050" t="e">
        <v>#N/A</v>
      </c>
      <c r="H1050" s="214">
        <v>274.90829000000002</v>
      </c>
      <c r="I1050" s="425" t="e">
        <v>#N/A</v>
      </c>
      <c r="J1050" s="91">
        <v>61.485500000000002</v>
      </c>
      <c r="K1050" s="425">
        <v>4914.5510999999997</v>
      </c>
      <c r="L1050" s="542" t="s">
        <v>622</v>
      </c>
    </row>
    <row r="1051" spans="1:12" ht="15">
      <c r="A1051">
        <v>299609</v>
      </c>
      <c r="B1051" t="e">
        <f t="shared" si="38"/>
        <v>#N/A</v>
      </c>
      <c r="C1051" s="209" t="e">
        <f t="shared" si="39"/>
        <v>#N/A</v>
      </c>
      <c r="D1051" t="s">
        <v>4801</v>
      </c>
      <c r="E1051" t="e">
        <v>#N/A</v>
      </c>
      <c r="F1051" t="e">
        <v>#N/A</v>
      </c>
      <c r="G1051" t="e">
        <v>#N/A</v>
      </c>
      <c r="H1051" s="214">
        <v>274.90829000000002</v>
      </c>
      <c r="I1051" s="425" t="e">
        <v>#N/A</v>
      </c>
      <c r="J1051" s="91">
        <v>61.485500000000002</v>
      </c>
      <c r="K1051" s="425">
        <v>4914.5510999999997</v>
      </c>
      <c r="L1051" s="542" t="s">
        <v>622</v>
      </c>
    </row>
    <row r="1052" spans="1:12" ht="15">
      <c r="A1052">
        <v>347156</v>
      </c>
      <c r="B1052" t="str">
        <f t="shared" si="38"/>
        <v>Sevroll Gemini horné vedenie 1,7m RAL8028 le</v>
      </c>
      <c r="C1052" s="209" t="e">
        <f t="shared" si="39"/>
        <v>#N/A</v>
      </c>
      <c r="D1052" t="s">
        <v>4802</v>
      </c>
      <c r="E1052" t="s">
        <v>6209</v>
      </c>
      <c r="F1052" t="s">
        <v>6887</v>
      </c>
      <c r="G1052" t="s">
        <v>7393</v>
      </c>
      <c r="H1052" s="214">
        <v>0</v>
      </c>
      <c r="I1052" s="425" t="e">
        <v>#N/A</v>
      </c>
      <c r="J1052" s="91">
        <v>0</v>
      </c>
      <c r="K1052" s="425">
        <v>0</v>
      </c>
      <c r="L1052" s="542" t="s">
        <v>622</v>
      </c>
    </row>
    <row r="1053" spans="1:12" ht="15">
      <c r="A1053">
        <v>347159</v>
      </c>
      <c r="B1053" t="str">
        <f t="shared" si="38"/>
        <v>Sevroll Fox II úchytová lišta 2,7m RAL8028 lesk</v>
      </c>
      <c r="C1053" s="209" t="e">
        <f t="shared" si="39"/>
        <v>#N/A</v>
      </c>
      <c r="D1053" t="s">
        <v>4803</v>
      </c>
      <c r="E1053" t="s">
        <v>6210</v>
      </c>
      <c r="F1053" t="s">
        <v>6888</v>
      </c>
      <c r="G1053" t="s">
        <v>7394</v>
      </c>
      <c r="H1053" s="214">
        <v>0</v>
      </c>
      <c r="I1053" s="425" t="e">
        <v>#N/A</v>
      </c>
      <c r="J1053" s="91">
        <v>0</v>
      </c>
      <c r="K1053" s="425">
        <v>0</v>
      </c>
      <c r="L1053" s="542" t="s">
        <v>622</v>
      </c>
    </row>
    <row r="1054" spans="1:12" ht="15">
      <c r="A1054">
        <v>347160</v>
      </c>
      <c r="B1054" t="str">
        <f t="shared" si="38"/>
        <v>Sevroll horná vodiaca lišta 1,7m RAL8028 lesk</v>
      </c>
      <c r="C1054" s="209" t="e">
        <f t="shared" si="39"/>
        <v>#N/A</v>
      </c>
      <c r="D1054" t="s">
        <v>4804</v>
      </c>
      <c r="E1054" t="s">
        <v>6211</v>
      </c>
      <c r="F1054" t="s">
        <v>6889</v>
      </c>
      <c r="G1054" t="s">
        <v>7395</v>
      </c>
      <c r="H1054" s="214">
        <v>0</v>
      </c>
      <c r="I1054" s="425" t="e">
        <v>#N/A</v>
      </c>
      <c r="J1054" s="91">
        <v>0</v>
      </c>
      <c r="K1054" s="425">
        <v>0</v>
      </c>
      <c r="L1054" s="542" t="s">
        <v>622</v>
      </c>
    </row>
    <row r="1055" spans="1:12" ht="15">
      <c r="A1055">
        <v>347161</v>
      </c>
      <c r="B1055" t="str">
        <f t="shared" si="38"/>
        <v>Sevroll spodná krycia lišta 1,7m RAL8028 lesk</v>
      </c>
      <c r="C1055" s="209" t="e">
        <f t="shared" si="39"/>
        <v>#N/A</v>
      </c>
      <c r="D1055" t="s">
        <v>4805</v>
      </c>
      <c r="E1055" t="s">
        <v>6212</v>
      </c>
      <c r="F1055" t="s">
        <v>6890</v>
      </c>
      <c r="G1055" t="s">
        <v>7396</v>
      </c>
      <c r="H1055" s="214">
        <v>0</v>
      </c>
      <c r="I1055" s="425" t="e">
        <v>#N/A</v>
      </c>
      <c r="J1055" s="91">
        <v>0</v>
      </c>
      <c r="K1055" s="425">
        <v>0</v>
      </c>
      <c r="L1055" s="542" t="s">
        <v>622</v>
      </c>
    </row>
    <row r="1056" spans="1:12" ht="15">
      <c r="A1056">
        <v>347163</v>
      </c>
      <c r="B1056" t="str">
        <f t="shared" si="38"/>
        <v>Sevroll spojovacia lišta H30 3m RAL8028 lesk</v>
      </c>
      <c r="C1056" s="209" t="e">
        <f t="shared" si="39"/>
        <v>#N/A</v>
      </c>
      <c r="D1056" t="s">
        <v>4806</v>
      </c>
      <c r="E1056" t="s">
        <v>6213</v>
      </c>
      <c r="F1056" t="s">
        <v>6891</v>
      </c>
      <c r="G1056" t="s">
        <v>7397</v>
      </c>
      <c r="H1056" s="214">
        <v>0</v>
      </c>
      <c r="I1056" s="425" t="e">
        <v>#N/A</v>
      </c>
      <c r="J1056" s="91">
        <v>0</v>
      </c>
      <c r="K1056" s="425">
        <v>0</v>
      </c>
      <c r="L1056" s="542" t="s">
        <v>622</v>
      </c>
    </row>
    <row r="1057" spans="1:12" ht="15">
      <c r="A1057">
        <v>367470</v>
      </c>
      <c r="B1057" t="str">
        <f t="shared" si="38"/>
        <v>SEVROLL Alfa II úchytová lišta 18mm RAL9016 mat</v>
      </c>
      <c r="C1057" s="209" t="e">
        <f t="shared" si="39"/>
        <v>#N/A</v>
      </c>
      <c r="D1057" t="s">
        <v>4807</v>
      </c>
      <c r="E1057" t="s">
        <v>6214</v>
      </c>
      <c r="F1057" t="s">
        <v>6892</v>
      </c>
      <c r="G1057" t="s">
        <v>7398</v>
      </c>
      <c r="H1057" s="214">
        <v>0</v>
      </c>
      <c r="I1057" s="425" t="e">
        <v>#N/A</v>
      </c>
      <c r="J1057" s="91">
        <v>0</v>
      </c>
      <c r="K1057" s="425">
        <v>0</v>
      </c>
      <c r="L1057" s="542" t="s">
        <v>622</v>
      </c>
    </row>
    <row r="1058" spans="1:12" ht="15">
      <c r="A1058">
        <v>367472</v>
      </c>
      <c r="B1058" t="str">
        <f t="shared" si="38"/>
        <v>SEVROLL Gemini horní vedení 4,05m RAL9016 mat</v>
      </c>
      <c r="C1058" s="209" t="e">
        <f t="shared" si="39"/>
        <v>#N/A</v>
      </c>
      <c r="D1058" t="s">
        <v>4808</v>
      </c>
      <c r="E1058" t="s">
        <v>6215</v>
      </c>
      <c r="F1058" t="s">
        <v>4808</v>
      </c>
      <c r="G1058" t="s">
        <v>7399</v>
      </c>
      <c r="H1058" s="214">
        <v>0</v>
      </c>
      <c r="I1058" s="425" t="e">
        <v>#N/A</v>
      </c>
      <c r="J1058" s="91">
        <v>0</v>
      </c>
      <c r="K1058" s="425">
        <v>0</v>
      </c>
      <c r="L1058" s="542" t="s">
        <v>622</v>
      </c>
    </row>
    <row r="1059" spans="1:12" ht="15">
      <c r="A1059">
        <v>367474</v>
      </c>
      <c r="B1059" t="str">
        <f t="shared" si="38"/>
        <v>SEVROLL Elegant II spodné vedenie 4,05m RAL9016 mat</v>
      </c>
      <c r="C1059" s="209" t="e">
        <f t="shared" si="39"/>
        <v>#N/A</v>
      </c>
      <c r="D1059" t="s">
        <v>4809</v>
      </c>
      <c r="E1059" t="s">
        <v>6216</v>
      </c>
      <c r="F1059" t="s">
        <v>6893</v>
      </c>
      <c r="G1059" t="s">
        <v>7400</v>
      </c>
      <c r="H1059" s="214">
        <v>0</v>
      </c>
      <c r="I1059" s="425" t="e">
        <v>#N/A</v>
      </c>
      <c r="J1059" s="91">
        <v>0</v>
      </c>
      <c r="K1059" s="425">
        <v>0</v>
      </c>
      <c r="L1059" s="542" t="s">
        <v>622</v>
      </c>
    </row>
    <row r="1060" spans="1:12" ht="15">
      <c r="A1060">
        <v>367475</v>
      </c>
      <c r="B1060" t="str">
        <f t="shared" si="38"/>
        <v>SEVROLL maska Elegant II 4,05m RAL9016 mat</v>
      </c>
      <c r="C1060" s="209" t="e">
        <f t="shared" si="39"/>
        <v>#N/A</v>
      </c>
      <c r="D1060" t="s">
        <v>4810</v>
      </c>
      <c r="E1060" t="s">
        <v>6217</v>
      </c>
      <c r="F1060" t="s">
        <v>4810</v>
      </c>
      <c r="G1060" t="s">
        <v>7401</v>
      </c>
      <c r="H1060" s="214">
        <v>0</v>
      </c>
      <c r="I1060" s="425" t="e">
        <v>#N/A</v>
      </c>
      <c r="J1060" s="91">
        <v>0</v>
      </c>
      <c r="K1060" s="425">
        <v>0</v>
      </c>
      <c r="L1060" s="542" t="s">
        <v>622</v>
      </c>
    </row>
    <row r="1061" spans="1:12" ht="15">
      <c r="A1061">
        <v>367537</v>
      </c>
      <c r="B1061" t="str">
        <f t="shared" si="38"/>
        <v/>
      </c>
      <c r="C1061" s="209">
        <f t="shared" si="39"/>
        <v>29.888960000000001</v>
      </c>
      <c r="D1061" t="s">
        <v>4811</v>
      </c>
      <c r="E1061" t="s">
        <v>6218</v>
      </c>
      <c r="F1061" t="s">
        <v>84</v>
      </c>
      <c r="G1061" t="s">
        <v>7402</v>
      </c>
      <c r="H1061" s="214">
        <v>861.13279999999997</v>
      </c>
      <c r="I1061" s="425">
        <v>29.888960000000001</v>
      </c>
      <c r="J1061" s="91">
        <v>101.76</v>
      </c>
      <c r="K1061" s="425">
        <v>9756.8784599999999</v>
      </c>
      <c r="L1061" s="542" t="s">
        <v>622</v>
      </c>
    </row>
    <row r="1062" spans="1:12" ht="15">
      <c r="A1062">
        <v>367887</v>
      </c>
      <c r="B1062" t="e">
        <f t="shared" si="38"/>
        <v>#N/A</v>
      </c>
      <c r="C1062" s="209" t="e">
        <f t="shared" si="39"/>
        <v>#N/A</v>
      </c>
      <c r="D1062" t="s">
        <v>4812</v>
      </c>
      <c r="E1062" t="e">
        <v>#N/A</v>
      </c>
      <c r="F1062" t="e">
        <v>#N/A</v>
      </c>
      <c r="G1062" t="e">
        <v>#N/A</v>
      </c>
      <c r="H1062" s="214">
        <v>513</v>
      </c>
      <c r="I1062" s="425" t="e">
        <v>#N/A</v>
      </c>
      <c r="J1062" s="91">
        <v>87.844939999999994</v>
      </c>
      <c r="K1062" s="425">
        <v>6426.5579100000004</v>
      </c>
      <c r="L1062" s="542" t="s">
        <v>622</v>
      </c>
    </row>
    <row r="1063" spans="1:12" ht="15">
      <c r="A1063">
        <v>367888</v>
      </c>
      <c r="B1063" t="e">
        <f t="shared" si="38"/>
        <v>#N/A</v>
      </c>
      <c r="C1063" s="209" t="e">
        <f t="shared" si="39"/>
        <v>#N/A</v>
      </c>
      <c r="D1063" t="s">
        <v>4813</v>
      </c>
      <c r="E1063" t="e">
        <v>#N/A</v>
      </c>
      <c r="F1063" t="e">
        <v>#N/A</v>
      </c>
      <c r="G1063" t="e">
        <v>#N/A</v>
      </c>
      <c r="H1063" s="214">
        <v>462.6</v>
      </c>
      <c r="I1063" s="425" t="e">
        <v>#N/A</v>
      </c>
      <c r="J1063" s="91">
        <v>79.214569999999995</v>
      </c>
      <c r="K1063" s="425">
        <v>5795.17677</v>
      </c>
      <c r="L1063" s="542" t="s">
        <v>622</v>
      </c>
    </row>
    <row r="1064" spans="1:12" ht="15">
      <c r="A1064">
        <v>367889</v>
      </c>
      <c r="B1064" t="e">
        <f t="shared" si="38"/>
        <v>#N/A</v>
      </c>
      <c r="C1064" s="209" t="e">
        <f t="shared" si="39"/>
        <v>#N/A</v>
      </c>
      <c r="D1064" t="s">
        <v>4814</v>
      </c>
      <c r="E1064" t="e">
        <v>#N/A</v>
      </c>
      <c r="F1064" t="e">
        <v>#N/A</v>
      </c>
      <c r="G1064" t="e">
        <v>#N/A</v>
      </c>
      <c r="H1064" s="214">
        <v>462.6</v>
      </c>
      <c r="I1064" s="425" t="e">
        <v>#N/A</v>
      </c>
      <c r="J1064" s="91">
        <v>79.214569999999995</v>
      </c>
      <c r="K1064" s="425">
        <v>5795.17677</v>
      </c>
      <c r="L1064" s="542" t="s">
        <v>622</v>
      </c>
    </row>
    <row r="1065" spans="1:12" ht="15">
      <c r="A1065">
        <v>367890</v>
      </c>
      <c r="B1065" t="e">
        <f t="shared" si="38"/>
        <v>#N/A</v>
      </c>
      <c r="C1065" s="209" t="e">
        <f t="shared" si="39"/>
        <v>#N/A</v>
      </c>
      <c r="D1065" t="s">
        <v>4815</v>
      </c>
      <c r="E1065" t="e">
        <v>#N/A</v>
      </c>
      <c r="F1065" t="e">
        <v>#N/A</v>
      </c>
      <c r="G1065" t="e">
        <v>#N/A</v>
      </c>
      <c r="H1065" s="214">
        <v>462.6</v>
      </c>
      <c r="I1065" s="425" t="e">
        <v>#N/A</v>
      </c>
      <c r="J1065" s="91">
        <v>79.214569999999995</v>
      </c>
      <c r="K1065" s="425">
        <v>5795.17677</v>
      </c>
      <c r="L1065" s="542" t="s">
        <v>622</v>
      </c>
    </row>
    <row r="1066" spans="1:12" ht="15">
      <c r="A1066">
        <v>367929</v>
      </c>
      <c r="B1066" t="e">
        <f t="shared" si="38"/>
        <v>#N/A</v>
      </c>
      <c r="C1066" s="209" t="e">
        <f t="shared" si="39"/>
        <v>#N/A</v>
      </c>
      <c r="D1066" t="s">
        <v>4816</v>
      </c>
      <c r="E1066" t="e">
        <v>#N/A</v>
      </c>
      <c r="F1066" t="e">
        <v>#N/A</v>
      </c>
      <c r="G1066" t="e">
        <v>#N/A</v>
      </c>
      <c r="H1066" s="214">
        <v>599</v>
      </c>
      <c r="I1066" s="425" t="e">
        <v>#N/A</v>
      </c>
      <c r="J1066" s="91">
        <v>26.137080000000001</v>
      </c>
      <c r="K1066" s="425">
        <v>2097.3692000000001</v>
      </c>
      <c r="L1066" s="542" t="s">
        <v>621</v>
      </c>
    </row>
    <row r="1067" spans="1:12" ht="15">
      <c r="A1067">
        <v>368066</v>
      </c>
      <c r="B1067" t="str">
        <f t="shared" si="38"/>
        <v/>
      </c>
      <c r="C1067" s="209">
        <f t="shared" si="39"/>
        <v>13.016159999999999</v>
      </c>
      <c r="D1067" t="s">
        <v>4817</v>
      </c>
      <c r="E1067" t="s">
        <v>6219</v>
      </c>
      <c r="F1067" t="s">
        <v>84</v>
      </c>
      <c r="G1067" t="s">
        <v>7403</v>
      </c>
      <c r="H1067" s="214">
        <v>374.34368000000001</v>
      </c>
      <c r="I1067" s="425">
        <v>13.016159999999999</v>
      </c>
      <c r="J1067" s="91">
        <v>44.24</v>
      </c>
      <c r="K1067" s="425">
        <v>4241.4198999999999</v>
      </c>
      <c r="L1067" s="542" t="s">
        <v>622</v>
      </c>
    </row>
    <row r="1068" spans="1:12" ht="15">
      <c r="A1068">
        <v>368068</v>
      </c>
      <c r="B1068" t="str">
        <f t="shared" si="38"/>
        <v/>
      </c>
      <c r="C1068" s="209">
        <f t="shared" si="39"/>
        <v>18.801120000000001</v>
      </c>
      <c r="D1068" t="s">
        <v>4818</v>
      </c>
      <c r="E1068" t="s">
        <v>6220</v>
      </c>
      <c r="F1068" t="s">
        <v>84</v>
      </c>
      <c r="G1068" t="s">
        <v>7404</v>
      </c>
      <c r="H1068" s="214">
        <v>541.58848</v>
      </c>
      <c r="I1068" s="425">
        <v>18.801120000000001</v>
      </c>
      <c r="J1068" s="91">
        <v>64</v>
      </c>
      <c r="K1068" s="425">
        <v>6136.3508199999997</v>
      </c>
      <c r="L1068" s="542" t="s">
        <v>622</v>
      </c>
    </row>
    <row r="1069" spans="1:12" ht="15">
      <c r="A1069">
        <v>368069</v>
      </c>
      <c r="B1069" t="str">
        <f t="shared" si="38"/>
        <v/>
      </c>
      <c r="C1069" s="209">
        <f t="shared" si="39"/>
        <v>28.177579999999999</v>
      </c>
      <c r="D1069" t="s">
        <v>4819</v>
      </c>
      <c r="E1069" t="s">
        <v>6221</v>
      </c>
      <c r="F1069" t="s">
        <v>84</v>
      </c>
      <c r="G1069" t="s">
        <v>7405</v>
      </c>
      <c r="H1069" s="214">
        <v>811.3152</v>
      </c>
      <c r="I1069" s="425">
        <v>28.177579999999999</v>
      </c>
      <c r="J1069" s="91">
        <v>95.88</v>
      </c>
      <c r="K1069" s="425">
        <v>9192.4309499999999</v>
      </c>
      <c r="L1069" s="542" t="s">
        <v>622</v>
      </c>
    </row>
    <row r="1070" spans="1:12" ht="15">
      <c r="A1070">
        <v>368070</v>
      </c>
      <c r="B1070" t="str">
        <f t="shared" si="38"/>
        <v/>
      </c>
      <c r="C1070" s="209">
        <f t="shared" si="39"/>
        <v>56.28284</v>
      </c>
      <c r="D1070" t="s">
        <v>4820</v>
      </c>
      <c r="E1070" t="s">
        <v>6222</v>
      </c>
      <c r="F1070" t="s">
        <v>84</v>
      </c>
      <c r="G1070" t="s">
        <v>7406</v>
      </c>
      <c r="H1070" s="214">
        <v>1621.20704</v>
      </c>
      <c r="I1070" s="425">
        <v>56.28284</v>
      </c>
      <c r="J1070" s="91">
        <v>191.58</v>
      </c>
      <c r="K1070" s="425">
        <v>18368.734820000001</v>
      </c>
      <c r="L1070" s="542" t="s">
        <v>622</v>
      </c>
    </row>
    <row r="1071" spans="1:12" ht="15">
      <c r="A1071">
        <v>368071</v>
      </c>
      <c r="B1071" t="str">
        <f t="shared" si="38"/>
        <v/>
      </c>
      <c r="C1071" s="209">
        <f t="shared" si="39"/>
        <v>10.316509999999999</v>
      </c>
      <c r="D1071" t="s">
        <v>4821</v>
      </c>
      <c r="E1071" t="s">
        <v>6223</v>
      </c>
      <c r="F1071" t="s">
        <v>84</v>
      </c>
      <c r="G1071" t="s">
        <v>7407</v>
      </c>
      <c r="H1071" s="214">
        <v>297.48223999999999</v>
      </c>
      <c r="I1071" s="425">
        <v>10.316509999999999</v>
      </c>
      <c r="J1071" s="91">
        <v>35.15</v>
      </c>
      <c r="K1071" s="425">
        <v>3370.558</v>
      </c>
      <c r="L1071" s="542" t="s">
        <v>622</v>
      </c>
    </row>
    <row r="1072" spans="1:12" ht="15">
      <c r="A1072">
        <v>368072</v>
      </c>
      <c r="B1072" t="str">
        <f t="shared" si="38"/>
        <v/>
      </c>
      <c r="C1072" s="209">
        <f t="shared" si="39"/>
        <v>15.57118</v>
      </c>
      <c r="D1072" t="s">
        <v>4822</v>
      </c>
      <c r="E1072" t="s">
        <v>6224</v>
      </c>
      <c r="F1072" t="s">
        <v>84</v>
      </c>
      <c r="G1072" t="s">
        <v>7408</v>
      </c>
      <c r="H1072" s="214">
        <v>448.35840000000002</v>
      </c>
      <c r="I1072" s="425">
        <v>15.57118</v>
      </c>
      <c r="J1072" s="91">
        <v>52.98</v>
      </c>
      <c r="K1072" s="425">
        <v>5080.0276199999998</v>
      </c>
      <c r="L1072" s="542" t="s">
        <v>622</v>
      </c>
    </row>
    <row r="1073" spans="1:12" ht="15">
      <c r="A1073">
        <v>368073</v>
      </c>
      <c r="B1073" t="str">
        <f t="shared" si="38"/>
        <v/>
      </c>
      <c r="C1073" s="209">
        <f t="shared" si="39"/>
        <v>31.045950000000001</v>
      </c>
      <c r="D1073" t="s">
        <v>4823</v>
      </c>
      <c r="E1073" t="s">
        <v>6225</v>
      </c>
      <c r="F1073" t="s">
        <v>84</v>
      </c>
      <c r="G1073" t="s">
        <v>7409</v>
      </c>
      <c r="H1073" s="214">
        <v>894.58176000000003</v>
      </c>
      <c r="I1073" s="425">
        <v>31.045950000000001</v>
      </c>
      <c r="J1073" s="91">
        <v>105.72</v>
      </c>
      <c r="K1073" s="425">
        <v>10135.86464</v>
      </c>
      <c r="L1073" s="542" t="s">
        <v>622</v>
      </c>
    </row>
    <row r="1074" spans="1:12" ht="15">
      <c r="A1074">
        <v>368074</v>
      </c>
      <c r="B1074" t="str">
        <f t="shared" si="38"/>
        <v>SEVROLL voľná karta</v>
      </c>
      <c r="C1074" s="209" t="e">
        <f t="shared" si="39"/>
        <v>#N/A</v>
      </c>
      <c r="D1074" t="s">
        <v>4824</v>
      </c>
      <c r="E1074" t="s">
        <v>6226</v>
      </c>
      <c r="F1074" t="s">
        <v>6894</v>
      </c>
      <c r="G1074" t="s">
        <v>7410</v>
      </c>
      <c r="H1074" s="214">
        <v>0</v>
      </c>
      <c r="I1074" s="425" t="e">
        <v>#N/A</v>
      </c>
      <c r="J1074" s="91">
        <v>0</v>
      </c>
      <c r="K1074" s="425">
        <v>0</v>
      </c>
      <c r="L1074" s="542" t="s">
        <v>622</v>
      </c>
    </row>
    <row r="1075" spans="1:12" ht="15">
      <c r="A1075">
        <v>368077</v>
      </c>
      <c r="B1075" t="str">
        <f t="shared" si="38"/>
        <v/>
      </c>
      <c r="C1075" s="209">
        <f t="shared" si="39"/>
        <v>2.1452599999999999</v>
      </c>
      <c r="D1075" t="s">
        <v>4825</v>
      </c>
      <c r="E1075" t="s">
        <v>6227</v>
      </c>
      <c r="F1075" t="s">
        <v>84</v>
      </c>
      <c r="G1075" t="s">
        <v>7411</v>
      </c>
      <c r="H1075" s="214">
        <v>64.051199999999994</v>
      </c>
      <c r="I1075" s="425">
        <v>2.1452599999999999</v>
      </c>
      <c r="J1075" s="91">
        <v>7.57</v>
      </c>
      <c r="K1075" s="425">
        <v>725.71822999999995</v>
      </c>
      <c r="L1075" s="542" t="s">
        <v>622</v>
      </c>
    </row>
    <row r="1076" spans="1:12" ht="15">
      <c r="A1076">
        <v>368078</v>
      </c>
      <c r="B1076" t="str">
        <f t="shared" si="38"/>
        <v/>
      </c>
      <c r="C1076" s="209">
        <f t="shared" si="39"/>
        <v>3.22994</v>
      </c>
      <c r="D1076" t="s">
        <v>4826</v>
      </c>
      <c r="E1076" t="s">
        <v>6228</v>
      </c>
      <c r="F1076" t="s">
        <v>84</v>
      </c>
      <c r="G1076" t="s">
        <v>7412</v>
      </c>
      <c r="H1076" s="214">
        <v>103.90528</v>
      </c>
      <c r="I1076" s="425">
        <v>3.22994</v>
      </c>
      <c r="J1076" s="91">
        <v>12.28</v>
      </c>
      <c r="K1076" s="425">
        <v>1177.2762499999999</v>
      </c>
      <c r="L1076" s="542" t="s">
        <v>622</v>
      </c>
    </row>
    <row r="1077" spans="1:12" ht="15">
      <c r="A1077">
        <v>368089</v>
      </c>
      <c r="B1077" t="str">
        <f t="shared" si="38"/>
        <v/>
      </c>
      <c r="C1077" s="209">
        <f t="shared" si="39"/>
        <v>2.3139799999999999</v>
      </c>
      <c r="D1077" t="s">
        <v>4827</v>
      </c>
      <c r="E1077" t="s">
        <v>6229</v>
      </c>
      <c r="F1077" t="s">
        <v>84</v>
      </c>
      <c r="G1077" t="s">
        <v>7413</v>
      </c>
      <c r="H1077" s="214">
        <v>61.916159999999998</v>
      </c>
      <c r="I1077" s="425">
        <v>2.3139799999999999</v>
      </c>
      <c r="J1077" s="91">
        <v>8.8800000000000008</v>
      </c>
      <c r="K1077" s="425">
        <v>701.52761999999996</v>
      </c>
      <c r="L1077" s="542" t="s">
        <v>622</v>
      </c>
    </row>
    <row r="1078" spans="1:12" ht="15">
      <c r="A1078">
        <v>368096</v>
      </c>
      <c r="B1078" t="str">
        <f t="shared" si="38"/>
        <v/>
      </c>
      <c r="C1078" s="209">
        <f t="shared" si="39"/>
        <v>0</v>
      </c>
      <c r="D1078" t="s">
        <v>4828</v>
      </c>
      <c r="E1078" t="s">
        <v>6230</v>
      </c>
      <c r="F1078" t="s">
        <v>84</v>
      </c>
      <c r="G1078" t="s">
        <v>7414</v>
      </c>
      <c r="H1078" s="214">
        <v>1179.9654399999999</v>
      </c>
      <c r="I1078" s="425">
        <v>0</v>
      </c>
      <c r="J1078" s="91">
        <v>149.74753000000001</v>
      </c>
      <c r="K1078" s="425">
        <v>13369.34254</v>
      </c>
      <c r="L1078" s="542" t="s">
        <v>622</v>
      </c>
    </row>
    <row r="1079" spans="1:12" ht="15">
      <c r="A1079">
        <v>368090</v>
      </c>
      <c r="B1079" t="str">
        <f t="shared" si="38"/>
        <v/>
      </c>
      <c r="C1079" s="209">
        <f t="shared" si="39"/>
        <v>13.13668</v>
      </c>
      <c r="D1079" t="s">
        <v>4829</v>
      </c>
      <c r="E1079" t="s">
        <v>6231</v>
      </c>
      <c r="F1079" t="s">
        <v>84</v>
      </c>
      <c r="G1079" t="s">
        <v>7415</v>
      </c>
      <c r="H1079" s="214">
        <v>378.61376000000001</v>
      </c>
      <c r="I1079" s="425">
        <v>13.13668</v>
      </c>
      <c r="J1079" s="91">
        <v>44.74</v>
      </c>
      <c r="K1079" s="425">
        <v>4289.8010999999997</v>
      </c>
      <c r="L1079" s="542" t="s">
        <v>622</v>
      </c>
    </row>
    <row r="1080" spans="1:12" ht="15">
      <c r="A1080">
        <v>368091</v>
      </c>
      <c r="B1080" t="str">
        <f t="shared" si="38"/>
        <v/>
      </c>
      <c r="C1080" s="209">
        <f t="shared" si="39"/>
        <v>1.32572</v>
      </c>
      <c r="D1080" t="s">
        <v>4830</v>
      </c>
      <c r="E1080" t="s">
        <v>6232</v>
      </c>
      <c r="F1080" t="s">
        <v>84</v>
      </c>
      <c r="G1080" t="s">
        <v>7416</v>
      </c>
      <c r="H1080" s="214">
        <v>38.430720000000001</v>
      </c>
      <c r="I1080" s="425">
        <v>1.32572</v>
      </c>
      <c r="J1080" s="91">
        <v>4.54</v>
      </c>
      <c r="K1080" s="425">
        <v>435.43095</v>
      </c>
      <c r="L1080" s="542" t="s">
        <v>622</v>
      </c>
    </row>
    <row r="1081" spans="1:12" ht="15">
      <c r="A1081">
        <v>368092</v>
      </c>
      <c r="B1081" t="str">
        <f t="shared" si="38"/>
        <v/>
      </c>
      <c r="C1081" s="209">
        <f t="shared" si="39"/>
        <v>5.0377400000000003</v>
      </c>
      <c r="D1081" t="s">
        <v>4831</v>
      </c>
      <c r="E1081" t="s">
        <v>6233</v>
      </c>
      <c r="F1081" t="s">
        <v>84</v>
      </c>
      <c r="G1081" t="s">
        <v>7417</v>
      </c>
      <c r="H1081" s="214">
        <v>145.18271999999999</v>
      </c>
      <c r="I1081" s="425">
        <v>5.0377400000000003</v>
      </c>
      <c r="J1081" s="91">
        <v>17.16</v>
      </c>
      <c r="K1081" s="425">
        <v>1644.9613300000001</v>
      </c>
      <c r="L1081" s="542" t="s">
        <v>622</v>
      </c>
    </row>
    <row r="1082" spans="1:12" ht="15">
      <c r="A1082">
        <v>368097</v>
      </c>
      <c r="B1082" t="str">
        <f t="shared" si="38"/>
        <v/>
      </c>
      <c r="C1082" s="209">
        <f t="shared" si="39"/>
        <v>0</v>
      </c>
      <c r="D1082" t="s">
        <v>4832</v>
      </c>
      <c r="E1082" t="s">
        <v>6234</v>
      </c>
      <c r="F1082" t="s">
        <v>84</v>
      </c>
      <c r="G1082" t="s">
        <v>7418</v>
      </c>
      <c r="H1082" s="214">
        <v>1648.2508800000001</v>
      </c>
      <c r="I1082" s="425">
        <v>0</v>
      </c>
      <c r="J1082" s="91">
        <v>209.17687000000001</v>
      </c>
      <c r="K1082" s="425">
        <v>18675.14918</v>
      </c>
      <c r="L1082" s="542" t="s">
        <v>622</v>
      </c>
    </row>
    <row r="1083" spans="1:12" ht="15">
      <c r="A1083">
        <v>368443</v>
      </c>
      <c r="B1083" t="str">
        <f t="shared" si="38"/>
        <v>SEVROLL Herkules plus horné vedenie 3m alu</v>
      </c>
      <c r="C1083" s="209">
        <f t="shared" si="39"/>
        <v>43.314889999999998</v>
      </c>
      <c r="D1083" t="s">
        <v>4833</v>
      </c>
      <c r="E1083" t="s">
        <v>6235</v>
      </c>
      <c r="F1083" t="s">
        <v>6895</v>
      </c>
      <c r="G1083" t="s">
        <v>7419</v>
      </c>
      <c r="H1083" s="214">
        <v>879.81439999999998</v>
      </c>
      <c r="I1083" s="425">
        <v>43.314889999999998</v>
      </c>
      <c r="J1083" s="91">
        <v>128.69</v>
      </c>
      <c r="K1083" s="425">
        <v>12275.93751</v>
      </c>
      <c r="L1083" s="542" t="s">
        <v>622</v>
      </c>
    </row>
    <row r="1084" spans="1:12" ht="15">
      <c r="A1084">
        <v>313412</v>
      </c>
      <c r="B1084" t="e">
        <f t="shared" ref="B1084:B1118" si="40">IF($A$2=1,D1084,IF($A$2=2,F1084,IF($A$2=3,G1084,IF($A$2=4,E1084,"zadat jazyk"))))</f>
        <v>#N/A</v>
      </c>
      <c r="C1084" s="209" t="e">
        <f t="shared" ref="C1084:C1118" si="41">IF($A$2=1,H1084,IF($A$2=2,I1084,IF($A$2=3,J1084,IF($A$2=4,K1084,"zadat jazyk"))))</f>
        <v>#N/A</v>
      </c>
      <c r="D1084" t="s">
        <v>4834</v>
      </c>
      <c r="E1084" t="e">
        <v>#N/A</v>
      </c>
      <c r="F1084" t="e">
        <v>#N/A</v>
      </c>
      <c r="G1084" t="e">
        <v>#N/A</v>
      </c>
      <c r="H1084" s="214">
        <v>4291.9520000000002</v>
      </c>
      <c r="I1084" s="425" t="e">
        <v>#N/A</v>
      </c>
      <c r="J1084" s="91">
        <v>520.98596999999995</v>
      </c>
      <c r="K1084" s="425">
        <v>48165.897790000003</v>
      </c>
      <c r="L1084" s="542" t="s">
        <v>622</v>
      </c>
    </row>
    <row r="1085" spans="1:12" ht="15">
      <c r="A1085">
        <v>313416</v>
      </c>
      <c r="B1085" t="e">
        <f t="shared" si="40"/>
        <v>#N/A</v>
      </c>
      <c r="C1085" s="209" t="e">
        <f t="shared" si="41"/>
        <v>#N/A</v>
      </c>
      <c r="D1085" t="s">
        <v>4835</v>
      </c>
      <c r="E1085" t="e">
        <v>#N/A</v>
      </c>
      <c r="F1085" t="e">
        <v>#N/A</v>
      </c>
      <c r="G1085" t="e">
        <v>#N/A</v>
      </c>
      <c r="H1085" s="214">
        <v>13240.768</v>
      </c>
      <c r="I1085" s="425" t="e">
        <v>#N/A</v>
      </c>
      <c r="J1085" s="91">
        <v>1237.58518</v>
      </c>
      <c r="K1085" s="425">
        <v>114416.51933</v>
      </c>
      <c r="L1085" s="542" t="s">
        <v>622</v>
      </c>
    </row>
    <row r="1086" spans="1:12" ht="15">
      <c r="A1086">
        <v>313417</v>
      </c>
      <c r="B1086" t="e">
        <f t="shared" si="40"/>
        <v>#N/A</v>
      </c>
      <c r="C1086" s="209" t="e">
        <f t="shared" si="41"/>
        <v>#N/A</v>
      </c>
      <c r="D1086" t="s">
        <v>4836</v>
      </c>
      <c r="E1086" t="e">
        <v>#N/A</v>
      </c>
      <c r="F1086" t="e">
        <v>#N/A</v>
      </c>
      <c r="G1086" t="e">
        <v>#N/A</v>
      </c>
      <c r="H1086" s="214">
        <v>20920.64</v>
      </c>
      <c r="I1086" s="425" t="e">
        <v>#N/A</v>
      </c>
      <c r="J1086" s="91">
        <v>1955.4060199999999</v>
      </c>
      <c r="K1086" s="425">
        <v>180780.08287000001</v>
      </c>
      <c r="L1086" s="542" t="s">
        <v>622</v>
      </c>
    </row>
    <row r="1087" spans="1:12" ht="15">
      <c r="A1087">
        <v>313418</v>
      </c>
      <c r="B1087" t="e">
        <f t="shared" si="40"/>
        <v>#N/A</v>
      </c>
      <c r="C1087" s="209" t="e">
        <f t="shared" si="41"/>
        <v>#N/A</v>
      </c>
      <c r="D1087" t="s">
        <v>4837</v>
      </c>
      <c r="E1087" t="e">
        <v>#N/A</v>
      </c>
      <c r="F1087" t="e">
        <v>#N/A</v>
      </c>
      <c r="G1087" t="e">
        <v>#N/A</v>
      </c>
      <c r="H1087" s="214">
        <v>6288</v>
      </c>
      <c r="I1087" s="425" t="e">
        <v>#N/A</v>
      </c>
      <c r="J1087" s="91">
        <v>554.81304999999998</v>
      </c>
      <c r="K1087" s="425">
        <v>51293.259669999999</v>
      </c>
      <c r="L1087" s="542" t="s">
        <v>622</v>
      </c>
    </row>
    <row r="1088" spans="1:12" ht="15">
      <c r="A1088">
        <v>313436</v>
      </c>
      <c r="B1088" t="e">
        <f t="shared" si="40"/>
        <v>#N/A</v>
      </c>
      <c r="C1088" s="209" t="e">
        <f t="shared" si="41"/>
        <v>#N/A</v>
      </c>
      <c r="D1088" t="s">
        <v>4838</v>
      </c>
      <c r="E1088" t="e">
        <v>#N/A</v>
      </c>
      <c r="F1088" t="e">
        <v>#N/A</v>
      </c>
      <c r="G1088" t="e">
        <v>#N/A</v>
      </c>
      <c r="H1088" s="214">
        <v>10861.936</v>
      </c>
      <c r="I1088" s="425" t="e">
        <v>#N/A</v>
      </c>
      <c r="J1088" s="91">
        <v>0</v>
      </c>
      <c r="K1088" s="425">
        <v>93859.820439999996</v>
      </c>
      <c r="L1088" s="542" t="s">
        <v>622</v>
      </c>
    </row>
    <row r="1089" spans="1:12" ht="15">
      <c r="A1089">
        <v>313437</v>
      </c>
      <c r="B1089" t="e">
        <f t="shared" si="40"/>
        <v>#N/A</v>
      </c>
      <c r="C1089" s="209" t="e">
        <f t="shared" si="41"/>
        <v>#N/A</v>
      </c>
      <c r="D1089" t="s">
        <v>4839</v>
      </c>
      <c r="E1089" t="e">
        <v>#N/A</v>
      </c>
      <c r="F1089" t="e">
        <v>#N/A</v>
      </c>
      <c r="G1089" t="e">
        <v>#N/A</v>
      </c>
      <c r="H1089" s="214">
        <v>2647.9360000000001</v>
      </c>
      <c r="I1089" s="425" t="e">
        <v>#N/A</v>
      </c>
      <c r="J1089" s="91">
        <v>0</v>
      </c>
      <c r="K1089" s="425">
        <v>29593.507570000002</v>
      </c>
      <c r="L1089" s="542" t="s">
        <v>622</v>
      </c>
    </row>
    <row r="1090" spans="1:12" ht="15">
      <c r="A1090">
        <v>456332</v>
      </c>
      <c r="B1090" t="str">
        <f t="shared" si="40"/>
        <v>SEVROLL Pax úchytová lišta 2,7m čierna mat</v>
      </c>
      <c r="C1090" s="209">
        <f t="shared" si="41"/>
        <v>30.732600000000001</v>
      </c>
      <c r="D1090" t="s">
        <v>4840</v>
      </c>
      <c r="E1090" t="s">
        <v>6236</v>
      </c>
      <c r="F1090" t="s">
        <v>6896</v>
      </c>
      <c r="G1090" t="s">
        <v>7420</v>
      </c>
      <c r="H1090" s="214">
        <v>900.98688000000004</v>
      </c>
      <c r="I1090" s="425">
        <v>30.732600000000001</v>
      </c>
      <c r="J1090" s="91">
        <v>106.47</v>
      </c>
      <c r="K1090" s="425">
        <v>10208.436460000001</v>
      </c>
      <c r="L1090" s="542" t="s">
        <v>622</v>
      </c>
    </row>
    <row r="1091" spans="1:12" ht="15">
      <c r="A1091">
        <v>456333</v>
      </c>
      <c r="B1091" t="str">
        <f t="shared" si="40"/>
        <v>SEVROLL Pax úchytová lišta 3m čierna mat</v>
      </c>
      <c r="C1091" s="209">
        <f t="shared" si="41"/>
        <v>34.155369999999998</v>
      </c>
      <c r="D1091" t="s">
        <v>4841</v>
      </c>
      <c r="E1091" t="s">
        <v>6237</v>
      </c>
      <c r="F1091" t="s">
        <v>6897</v>
      </c>
      <c r="G1091" t="s">
        <v>7421</v>
      </c>
      <c r="H1091" s="214">
        <v>1001.33376</v>
      </c>
      <c r="I1091" s="425">
        <v>34.155369999999998</v>
      </c>
      <c r="J1091" s="91">
        <v>118.33</v>
      </c>
      <c r="K1091" s="425">
        <v>11345.39503</v>
      </c>
      <c r="L1091" s="542" t="s">
        <v>622</v>
      </c>
    </row>
    <row r="1092" spans="1:12" ht="15">
      <c r="A1092">
        <v>405993</v>
      </c>
      <c r="B1092" t="e">
        <f t="shared" si="40"/>
        <v>#N/A</v>
      </c>
      <c r="C1092" s="209" t="e">
        <f t="shared" si="41"/>
        <v>#N/A</v>
      </c>
      <c r="D1092" t="s">
        <v>4842</v>
      </c>
      <c r="E1092" t="e">
        <v>#N/A</v>
      </c>
      <c r="F1092" t="e">
        <v>#N/A</v>
      </c>
      <c r="G1092" t="e">
        <v>#N/A</v>
      </c>
      <c r="H1092" s="214">
        <v>43.2</v>
      </c>
      <c r="I1092" s="425" t="e">
        <v>#N/A</v>
      </c>
      <c r="J1092" s="91">
        <v>7.3974799999999998</v>
      </c>
      <c r="K1092" s="425">
        <v>541.18382999999994</v>
      </c>
      <c r="L1092" s="542" t="s">
        <v>622</v>
      </c>
    </row>
    <row r="1093" spans="1:12" ht="15">
      <c r="A1093">
        <v>406342</v>
      </c>
      <c r="B1093" t="str">
        <f t="shared" si="40"/>
        <v>SEVROLL Porto úchytová lišta 3m strieborn</v>
      </c>
      <c r="C1093" s="209">
        <f t="shared" si="41"/>
        <v>27.7196</v>
      </c>
      <c r="D1093" t="s">
        <v>4843</v>
      </c>
      <c r="E1093" t="s">
        <v>6238</v>
      </c>
      <c r="F1093" t="s">
        <v>6898</v>
      </c>
      <c r="G1093" t="s">
        <v>7422</v>
      </c>
      <c r="H1093" s="214">
        <v>798.50495999999998</v>
      </c>
      <c r="I1093" s="425">
        <v>27.7196</v>
      </c>
      <c r="J1093" s="91">
        <v>94.36</v>
      </c>
      <c r="K1093" s="425">
        <v>9047.2872800000005</v>
      </c>
      <c r="L1093" s="542" t="s">
        <v>622</v>
      </c>
    </row>
    <row r="1094" spans="1:12" ht="15">
      <c r="A1094">
        <v>406343</v>
      </c>
      <c r="B1094" t="str">
        <f t="shared" si="40"/>
        <v>SEVROLL Porto úchytová lišta 3m oliva</v>
      </c>
      <c r="C1094" s="209">
        <f t="shared" si="41"/>
        <v>31.865490000000001</v>
      </c>
      <c r="D1094" t="s">
        <v>4844</v>
      </c>
      <c r="E1094" t="s">
        <v>6239</v>
      </c>
      <c r="F1094" t="s">
        <v>6899</v>
      </c>
      <c r="G1094" t="s">
        <v>7423</v>
      </c>
      <c r="H1094" s="214">
        <v>918.06719999999996</v>
      </c>
      <c r="I1094" s="425">
        <v>31.865490000000001</v>
      </c>
      <c r="J1094" s="91">
        <v>108.49</v>
      </c>
      <c r="K1094" s="425">
        <v>10401.96133</v>
      </c>
      <c r="L1094" s="542" t="s">
        <v>622</v>
      </c>
    </row>
    <row r="1095" spans="1:12" ht="15">
      <c r="A1095">
        <v>406344</v>
      </c>
      <c r="B1095" t="str">
        <f t="shared" si="40"/>
        <v>SEVROLL Maxim horné vedenie 1,8m oliva</v>
      </c>
      <c r="C1095" s="209">
        <f t="shared" si="41"/>
        <v>25.502030000000001</v>
      </c>
      <c r="D1095" t="s">
        <v>4845</v>
      </c>
      <c r="E1095" t="s">
        <v>6240</v>
      </c>
      <c r="F1095" t="s">
        <v>6900</v>
      </c>
      <c r="G1095" t="s">
        <v>7424</v>
      </c>
      <c r="H1095" s="214">
        <v>735.16543999999999</v>
      </c>
      <c r="I1095" s="425">
        <v>25.502030000000001</v>
      </c>
      <c r="J1095" s="91">
        <v>86.88</v>
      </c>
      <c r="K1095" s="425">
        <v>8329.6325899999993</v>
      </c>
      <c r="L1095" s="542" t="s">
        <v>622</v>
      </c>
    </row>
    <row r="1096" spans="1:12" ht="15">
      <c r="A1096">
        <v>406463</v>
      </c>
      <c r="B1096" t="str">
        <f t="shared" si="40"/>
        <v>SEVROLL spojovacia lišta H18 3m biela mat</v>
      </c>
      <c r="C1096" s="209">
        <f t="shared" si="41"/>
        <v>18.077999999999999</v>
      </c>
      <c r="D1096" t="s">
        <v>4846</v>
      </c>
      <c r="E1096" t="s">
        <v>6241</v>
      </c>
      <c r="F1096" t="s">
        <v>6901</v>
      </c>
      <c r="G1096" t="s">
        <v>7425</v>
      </c>
      <c r="H1096" s="214">
        <v>485.36576000000002</v>
      </c>
      <c r="I1096" s="425">
        <v>18.077999999999999</v>
      </c>
      <c r="J1096" s="91">
        <v>64.03</v>
      </c>
      <c r="K1096" s="425">
        <v>5499.3314899999996</v>
      </c>
      <c r="L1096" s="542" t="s">
        <v>621</v>
      </c>
    </row>
    <row r="1097" spans="1:12" ht="15">
      <c r="A1097">
        <v>406464</v>
      </c>
      <c r="B1097" t="str">
        <f t="shared" si="40"/>
        <v/>
      </c>
      <c r="C1097" s="209">
        <f t="shared" si="41"/>
        <v>7.1588900000000004</v>
      </c>
      <c r="D1097" t="s">
        <v>4847</v>
      </c>
      <c r="E1097" t="s">
        <v>6242</v>
      </c>
      <c r="F1097" t="s">
        <v>84</v>
      </c>
      <c r="G1097" t="s">
        <v>7426</v>
      </c>
      <c r="H1097" s="214">
        <v>192.15360000000001</v>
      </c>
      <c r="I1097" s="425">
        <v>7.1588900000000004</v>
      </c>
      <c r="J1097" s="91">
        <v>27.69</v>
      </c>
      <c r="K1097" s="425">
        <v>2177.1546899999998</v>
      </c>
      <c r="L1097" s="542" t="s">
        <v>622</v>
      </c>
    </row>
    <row r="1098" spans="1:12" ht="15">
      <c r="A1098">
        <v>296081</v>
      </c>
      <c r="B1098" t="str">
        <f t="shared" si="40"/>
        <v>SEVROLL Gemini horné vedenie 3m RAL9005 lesk</v>
      </c>
      <c r="C1098" s="209" t="e">
        <f t="shared" si="41"/>
        <v>#N/A</v>
      </c>
      <c r="D1098" t="s">
        <v>4848</v>
      </c>
      <c r="E1098" t="s">
        <v>6243</v>
      </c>
      <c r="F1098" t="s">
        <v>6902</v>
      </c>
      <c r="G1098" t="s">
        <v>7427</v>
      </c>
      <c r="H1098" s="214">
        <v>0</v>
      </c>
      <c r="I1098" s="425" t="e">
        <v>#N/A</v>
      </c>
      <c r="J1098" s="91">
        <v>0</v>
      </c>
      <c r="K1098" s="425">
        <v>0</v>
      </c>
      <c r="L1098" s="542" t="s">
        <v>622</v>
      </c>
    </row>
    <row r="1099" spans="1:12" ht="15">
      <c r="A1099">
        <v>296087</v>
      </c>
      <c r="B1099" t="str">
        <f t="shared" si="40"/>
        <v>SEVROLL Gemini horné vedenie 1,7m RAL9005 le</v>
      </c>
      <c r="C1099" s="209" t="e">
        <f t="shared" si="41"/>
        <v>#N/A</v>
      </c>
      <c r="D1099" t="s">
        <v>4849</v>
      </c>
      <c r="E1099" t="s">
        <v>6244</v>
      </c>
      <c r="F1099" t="s">
        <v>6903</v>
      </c>
      <c r="G1099" t="s">
        <v>7428</v>
      </c>
      <c r="H1099" s="214">
        <v>0</v>
      </c>
      <c r="I1099" s="425" t="e">
        <v>#N/A</v>
      </c>
      <c r="J1099" s="91">
        <v>0</v>
      </c>
      <c r="K1099" s="425">
        <v>0</v>
      </c>
      <c r="L1099" s="542" t="s">
        <v>622</v>
      </c>
    </row>
    <row r="1100" spans="1:12" ht="15">
      <c r="A1100">
        <v>296182</v>
      </c>
      <c r="B1100" t="str">
        <f t="shared" si="40"/>
        <v>SEVROLL spojovacia lišta T Decor 3m RAL9003 lesk</v>
      </c>
      <c r="C1100" s="209" t="e">
        <f t="shared" si="41"/>
        <v>#N/A</v>
      </c>
      <c r="D1100" t="s">
        <v>4850</v>
      </c>
      <c r="E1100" t="s">
        <v>6245</v>
      </c>
      <c r="F1100" t="s">
        <v>6904</v>
      </c>
      <c r="G1100" t="s">
        <v>7429</v>
      </c>
      <c r="H1100" s="214">
        <v>0</v>
      </c>
      <c r="I1100" s="425" t="e">
        <v>#N/A</v>
      </c>
      <c r="J1100" s="91">
        <v>0</v>
      </c>
      <c r="K1100" s="425">
        <v>0</v>
      </c>
      <c r="L1100" s="542" t="s">
        <v>622</v>
      </c>
    </row>
    <row r="1101" spans="1:12" ht="15">
      <c r="A1101">
        <v>296183</v>
      </c>
      <c r="B1101" t="str">
        <f t="shared" si="40"/>
        <v>SEVROLL uholník K2 Decor 3m RAL9003 lesk</v>
      </c>
      <c r="C1101" s="209" t="e">
        <f t="shared" si="41"/>
        <v>#N/A</v>
      </c>
      <c r="D1101" t="s">
        <v>4851</v>
      </c>
      <c r="E1101" t="s">
        <v>6246</v>
      </c>
      <c r="F1101" t="s">
        <v>6905</v>
      </c>
      <c r="G1101" t="s">
        <v>7430</v>
      </c>
      <c r="H1101" s="214">
        <v>0</v>
      </c>
      <c r="I1101" s="425" t="e">
        <v>#N/A</v>
      </c>
      <c r="J1101" s="91">
        <v>0</v>
      </c>
      <c r="K1101" s="425">
        <v>0</v>
      </c>
      <c r="L1101" s="542" t="s">
        <v>622</v>
      </c>
    </row>
    <row r="1102" spans="1:12" ht="15">
      <c r="A1102">
        <v>296186</v>
      </c>
      <c r="B1102" t="e">
        <f t="shared" si="40"/>
        <v>#N/A</v>
      </c>
      <c r="C1102" s="209" t="e">
        <f t="shared" si="41"/>
        <v>#N/A</v>
      </c>
      <c r="D1102" t="s">
        <v>4852</v>
      </c>
      <c r="E1102" t="e">
        <v>#N/A</v>
      </c>
      <c r="F1102" t="e">
        <v>#N/A</v>
      </c>
      <c r="G1102" t="e">
        <v>#N/A</v>
      </c>
      <c r="H1102" s="214">
        <v>180.66818000000001</v>
      </c>
      <c r="I1102" s="425" t="e">
        <v>#N/A</v>
      </c>
      <c r="J1102" s="91">
        <v>33.740070000000003</v>
      </c>
      <c r="K1102" s="425">
        <v>2638.36058</v>
      </c>
      <c r="L1102" s="542" t="s">
        <v>622</v>
      </c>
    </row>
    <row r="1103" spans="1:12" ht="15">
      <c r="A1103">
        <v>296187</v>
      </c>
      <c r="B1103" t="e">
        <f t="shared" si="40"/>
        <v>#N/A</v>
      </c>
      <c r="C1103" s="209" t="e">
        <f t="shared" si="41"/>
        <v>#N/A</v>
      </c>
      <c r="D1103" t="s">
        <v>4853</v>
      </c>
      <c r="E1103" t="e">
        <v>#N/A</v>
      </c>
      <c r="F1103" t="e">
        <v>#N/A</v>
      </c>
      <c r="G1103" t="e">
        <v>#N/A</v>
      </c>
      <c r="H1103" s="214">
        <v>152.19049999999999</v>
      </c>
      <c r="I1103" s="425" t="e">
        <v>#N/A</v>
      </c>
      <c r="J1103" s="91">
        <v>34.038670000000003</v>
      </c>
      <c r="K1103" s="425">
        <v>2638.36058</v>
      </c>
      <c r="L1103" s="542" t="s">
        <v>622</v>
      </c>
    </row>
    <row r="1104" spans="1:12" ht="15">
      <c r="A1104">
        <v>296188</v>
      </c>
      <c r="B1104" t="e">
        <f t="shared" si="40"/>
        <v>#N/A</v>
      </c>
      <c r="C1104" s="209" t="e">
        <f t="shared" si="41"/>
        <v>#N/A</v>
      </c>
      <c r="D1104" t="s">
        <v>4854</v>
      </c>
      <c r="E1104" t="e">
        <v>#N/A</v>
      </c>
      <c r="F1104" t="e">
        <v>#N/A</v>
      </c>
      <c r="G1104" t="e">
        <v>#N/A</v>
      </c>
      <c r="H1104" s="214">
        <v>157.74759</v>
      </c>
      <c r="I1104" s="425" t="e">
        <v>#N/A</v>
      </c>
      <c r="J1104" s="91">
        <v>29.459610000000001</v>
      </c>
      <c r="K1104" s="425">
        <v>2303.6431699999998</v>
      </c>
      <c r="L1104" s="542" t="s">
        <v>622</v>
      </c>
    </row>
    <row r="1105" spans="1:12" ht="15">
      <c r="A1105">
        <v>296433</v>
      </c>
      <c r="B1105" t="e">
        <f t="shared" si="40"/>
        <v>#N/A</v>
      </c>
      <c r="C1105" s="209" t="e">
        <f t="shared" si="41"/>
        <v>#N/A</v>
      </c>
      <c r="D1105" t="s">
        <v>4855</v>
      </c>
      <c r="E1105" t="e">
        <v>#N/A</v>
      </c>
      <c r="F1105" t="e">
        <v>#N/A</v>
      </c>
      <c r="G1105" t="e">
        <v>#N/A</v>
      </c>
      <c r="H1105" s="214">
        <v>280.00331999999997</v>
      </c>
      <c r="I1105" s="425" t="e">
        <v>#N/A</v>
      </c>
      <c r="J1105" s="91">
        <v>35.7883</v>
      </c>
      <c r="K1105" s="425">
        <v>3290.5760300000002</v>
      </c>
      <c r="L1105" s="542" t="s">
        <v>622</v>
      </c>
    </row>
    <row r="1106" spans="1:12" ht="15">
      <c r="A1106">
        <v>312097</v>
      </c>
      <c r="B1106" t="e">
        <f t="shared" si="40"/>
        <v>#N/A</v>
      </c>
      <c r="C1106" s="209">
        <f t="shared" si="41"/>
        <v>14.840920000000001</v>
      </c>
      <c r="D1106" t="s">
        <v>4856</v>
      </c>
      <c r="E1106" t="e">
        <v>#N/A</v>
      </c>
      <c r="F1106" t="e">
        <v>#N/A</v>
      </c>
      <c r="G1106" t="e">
        <v>#N/A</v>
      </c>
      <c r="H1106" s="214">
        <v>0</v>
      </c>
      <c r="I1106" s="425">
        <v>14.840920000000001</v>
      </c>
      <c r="J1106" s="91">
        <v>0</v>
      </c>
      <c r="K1106" s="425">
        <v>4889.2752499999997</v>
      </c>
      <c r="L1106" s="542" t="s">
        <v>624</v>
      </c>
    </row>
    <row r="1107" spans="1:12" ht="15">
      <c r="A1107">
        <v>312224</v>
      </c>
      <c r="B1107" t="e">
        <f t="shared" si="40"/>
        <v>#N/A</v>
      </c>
      <c r="C1107" s="209" t="e">
        <f t="shared" si="41"/>
        <v>#N/A</v>
      </c>
      <c r="D1107" t="s">
        <v>4857</v>
      </c>
      <c r="E1107" t="e">
        <v>#N/A</v>
      </c>
      <c r="F1107" t="e">
        <v>#N/A</v>
      </c>
      <c r="G1107" t="e">
        <v>#N/A</v>
      </c>
      <c r="H1107" s="214">
        <v>14624.788979999999</v>
      </c>
      <c r="I1107" s="425" t="e">
        <v>#N/A</v>
      </c>
      <c r="J1107" s="91">
        <v>1708.09024</v>
      </c>
      <c r="K1107" s="425">
        <v>0</v>
      </c>
      <c r="L1107" s="542" t="s">
        <v>622</v>
      </c>
    </row>
    <row r="1108" spans="1:12" ht="15">
      <c r="A1108">
        <v>355030</v>
      </c>
      <c r="B1108" t="str">
        <f t="shared" si="40"/>
        <v/>
      </c>
      <c r="C1108" s="209" t="e">
        <f t="shared" si="41"/>
        <v>#N/A</v>
      </c>
      <c r="D1108" t="s">
        <v>4858</v>
      </c>
      <c r="E1108" t="s">
        <v>6247</v>
      </c>
      <c r="F1108" t="s">
        <v>84</v>
      </c>
      <c r="G1108" t="s">
        <v>7431</v>
      </c>
      <c r="H1108" s="214">
        <v>0</v>
      </c>
      <c r="I1108" s="425" t="e">
        <v>#N/A</v>
      </c>
      <c r="J1108" s="91">
        <v>0</v>
      </c>
      <c r="K1108" s="425">
        <v>0</v>
      </c>
      <c r="L1108" s="542" t="s">
        <v>622</v>
      </c>
    </row>
    <row r="1109" spans="1:12" ht="15">
      <c r="A1109">
        <v>245219</v>
      </c>
      <c r="B1109" t="str">
        <f t="shared" si="40"/>
        <v>SEVROLL Alfa II lišta 18mm 2,70m RAL2013 mat</v>
      </c>
      <c r="C1109" s="209" t="e">
        <f t="shared" si="41"/>
        <v>#N/A</v>
      </c>
      <c r="D1109" t="s">
        <v>4859</v>
      </c>
      <c r="E1109" t="s">
        <v>6248</v>
      </c>
      <c r="F1109" t="s">
        <v>6906</v>
      </c>
      <c r="G1109" t="s">
        <v>7432</v>
      </c>
      <c r="H1109" s="214">
        <v>0</v>
      </c>
      <c r="I1109" s="425" t="e">
        <v>#N/A</v>
      </c>
      <c r="J1109" s="91">
        <v>0</v>
      </c>
      <c r="K1109" s="425">
        <v>0</v>
      </c>
      <c r="L1109" s="542" t="s">
        <v>622</v>
      </c>
    </row>
    <row r="1110" spans="1:12" ht="15">
      <c r="A1110">
        <v>245465</v>
      </c>
      <c r="B1110" t="str">
        <f t="shared" si="40"/>
        <v>SEVROLL Tytan úch lišta 2 7m RAL9003 lesk</v>
      </c>
      <c r="C1110" s="209" t="e">
        <f t="shared" si="41"/>
        <v>#N/A</v>
      </c>
      <c r="D1110" t="s">
        <v>4860</v>
      </c>
      <c r="E1110" t="s">
        <v>6249</v>
      </c>
      <c r="F1110" t="s">
        <v>6907</v>
      </c>
      <c r="G1110" t="s">
        <v>7433</v>
      </c>
      <c r="H1110" s="214">
        <v>0</v>
      </c>
      <c r="I1110" s="425" t="e">
        <v>#N/A</v>
      </c>
      <c r="J1110" s="91">
        <v>0</v>
      </c>
      <c r="K1110" s="425">
        <v>0</v>
      </c>
      <c r="L1110" s="542" t="s">
        <v>622</v>
      </c>
    </row>
    <row r="1111" spans="1:12" ht="15">
      <c r="A1111">
        <v>245666</v>
      </c>
      <c r="B1111" t="str">
        <f t="shared" si="40"/>
        <v>SEVROLL spojovacia lišta Simple/Blue H25 3m</v>
      </c>
      <c r="C1111" s="209">
        <f t="shared" si="41"/>
        <v>9.6457899999999999</v>
      </c>
      <c r="D1111" t="s">
        <v>4861</v>
      </c>
      <c r="E1111" t="s">
        <v>6250</v>
      </c>
      <c r="F1111" t="s">
        <v>6908</v>
      </c>
      <c r="G1111" t="s">
        <v>7434</v>
      </c>
      <c r="H1111" s="214">
        <v>335.51819999999998</v>
      </c>
      <c r="I1111" s="425">
        <v>9.6457899999999999</v>
      </c>
      <c r="J1111" s="91">
        <v>43.79</v>
      </c>
      <c r="K1111" s="425">
        <v>3604.40056</v>
      </c>
      <c r="L1111" s="542" t="s">
        <v>622</v>
      </c>
    </row>
    <row r="1112" spans="1:12" ht="15">
      <c r="A1112">
        <v>245667</v>
      </c>
      <c r="B1112" t="str">
        <f t="shared" si="40"/>
        <v>SEVROLL spojovacia lišta Simple/Blue H25 3m</v>
      </c>
      <c r="C1112" s="209">
        <f t="shared" si="41"/>
        <v>0</v>
      </c>
      <c r="D1112" t="s">
        <v>4862</v>
      </c>
      <c r="E1112" t="s">
        <v>6250</v>
      </c>
      <c r="F1112" t="s">
        <v>6908</v>
      </c>
      <c r="G1112" t="s">
        <v>7435</v>
      </c>
      <c r="H1112" s="214">
        <v>344.52539999999999</v>
      </c>
      <c r="I1112" s="425">
        <v>0</v>
      </c>
      <c r="J1112" s="91">
        <v>44.507080000000002</v>
      </c>
      <c r="K1112" s="425">
        <v>3701.1629800000001</v>
      </c>
      <c r="L1112" s="542" t="s">
        <v>622</v>
      </c>
    </row>
    <row r="1113" spans="1:12" ht="15">
      <c r="A1113">
        <v>246803</v>
      </c>
      <c r="B1113" t="str">
        <f t="shared" si="40"/>
        <v>Sevroll Gemini horné vedenie1,7m RAL8017 les</v>
      </c>
      <c r="C1113" s="209" t="e">
        <f t="shared" si="41"/>
        <v>#N/A</v>
      </c>
      <c r="D1113" t="s">
        <v>4863</v>
      </c>
      <c r="E1113" t="s">
        <v>6251</v>
      </c>
      <c r="F1113" t="s">
        <v>6909</v>
      </c>
      <c r="G1113" t="s">
        <v>7436</v>
      </c>
      <c r="H1113" s="214">
        <v>0</v>
      </c>
      <c r="I1113" s="425" t="e">
        <v>#N/A</v>
      </c>
      <c r="J1113" s="91">
        <v>0</v>
      </c>
      <c r="K1113" s="425">
        <v>0</v>
      </c>
      <c r="L1113" s="542" t="s">
        <v>622</v>
      </c>
    </row>
    <row r="1114" spans="1:12" ht="15">
      <c r="A1114">
        <v>277766</v>
      </c>
      <c r="B1114" t="str">
        <f t="shared" si="40"/>
        <v>SEVROLL Alfa II lišta 18mm 2,7m RAL9005 lesk</v>
      </c>
      <c r="C1114" s="209" t="e">
        <f t="shared" si="41"/>
        <v>#N/A</v>
      </c>
      <c r="D1114" t="s">
        <v>4864</v>
      </c>
      <c r="E1114" t="s">
        <v>6252</v>
      </c>
      <c r="F1114" t="s">
        <v>4864</v>
      </c>
      <c r="G1114" t="s">
        <v>7437</v>
      </c>
      <c r="H1114" s="214">
        <v>0</v>
      </c>
      <c r="I1114" s="425" t="e">
        <v>#N/A</v>
      </c>
      <c r="J1114" s="91">
        <v>0</v>
      </c>
      <c r="K1114" s="425">
        <v>0</v>
      </c>
      <c r="L1114" s="542" t="s">
        <v>622</v>
      </c>
    </row>
    <row r="1115" spans="1:12" ht="15">
      <c r="A1115">
        <v>277767</v>
      </c>
      <c r="B1115" t="str">
        <f t="shared" si="40"/>
        <v>SEVROLL Gemini horné vedenie 4,05m RAL9005 l</v>
      </c>
      <c r="C1115" s="209" t="e">
        <f t="shared" si="41"/>
        <v>#N/A</v>
      </c>
      <c r="D1115" t="s">
        <v>4865</v>
      </c>
      <c r="E1115" t="s">
        <v>6253</v>
      </c>
      <c r="F1115" t="s">
        <v>6910</v>
      </c>
      <c r="G1115" t="s">
        <v>7438</v>
      </c>
      <c r="H1115" s="214">
        <v>0</v>
      </c>
      <c r="I1115" s="425" t="e">
        <v>#N/A</v>
      </c>
      <c r="J1115" s="91">
        <v>0</v>
      </c>
      <c r="K1115" s="425">
        <v>0</v>
      </c>
      <c r="L1115" s="542" t="s">
        <v>622</v>
      </c>
    </row>
    <row r="1116" spans="1:12" ht="15">
      <c r="A1116">
        <v>278164</v>
      </c>
      <c r="B1116" t="str">
        <f t="shared" si="40"/>
        <v>SEVROLL Gemini úchytová lišta 2,7m čierna mat</v>
      </c>
      <c r="C1116" s="209">
        <f t="shared" si="41"/>
        <v>26.514399999999998</v>
      </c>
      <c r="D1116" t="s">
        <v>4866</v>
      </c>
      <c r="E1116" t="s">
        <v>6254</v>
      </c>
      <c r="F1116" t="s">
        <v>6911</v>
      </c>
      <c r="G1116" t="s">
        <v>7439</v>
      </c>
      <c r="H1116" s="214">
        <v>711.68</v>
      </c>
      <c r="I1116" s="425">
        <v>26.514399999999998</v>
      </c>
      <c r="J1116" s="91">
        <v>105.23</v>
      </c>
      <c r="K1116" s="425">
        <v>9821.0096300000005</v>
      </c>
      <c r="L1116" s="542" t="s">
        <v>622</v>
      </c>
    </row>
    <row r="1117" spans="1:12" ht="15">
      <c r="A1117">
        <v>278168</v>
      </c>
      <c r="B1117" t="str">
        <f t="shared" si="40"/>
        <v>SEVROLL Gemini horné vedenie 2,35m RAL9005 m</v>
      </c>
      <c r="C1117" s="209" t="e">
        <f t="shared" si="41"/>
        <v>#N/A</v>
      </c>
      <c r="D1117" t="s">
        <v>4867</v>
      </c>
      <c r="E1117" t="s">
        <v>6255</v>
      </c>
      <c r="F1117" t="s">
        <v>6912</v>
      </c>
      <c r="G1117" t="s">
        <v>7440</v>
      </c>
      <c r="H1117" s="214">
        <v>0</v>
      </c>
      <c r="I1117" s="425" t="e">
        <v>#N/A</v>
      </c>
      <c r="J1117" s="91">
        <v>0</v>
      </c>
      <c r="K1117" s="425">
        <v>0</v>
      </c>
      <c r="L1117" s="542" t="s">
        <v>622</v>
      </c>
    </row>
    <row r="1118" spans="1:12" ht="15">
      <c r="A1118">
        <v>278180</v>
      </c>
      <c r="B1118" t="str">
        <f t="shared" si="40"/>
        <v>SEVROLL horná vodiaca lišta 2,35m RAL9005 ma</v>
      </c>
      <c r="C1118" s="209" t="e">
        <f t="shared" si="41"/>
        <v>#N/A</v>
      </c>
      <c r="D1118" t="s">
        <v>4868</v>
      </c>
      <c r="E1118" t="s">
        <v>6256</v>
      </c>
      <c r="F1118" t="s">
        <v>6913</v>
      </c>
      <c r="G1118" t="s">
        <v>7441</v>
      </c>
      <c r="H1118" s="214">
        <v>0</v>
      </c>
      <c r="I1118" s="425" t="e">
        <v>#N/A</v>
      </c>
      <c r="J1118" s="91">
        <v>0</v>
      </c>
      <c r="K1118" s="425">
        <v>0</v>
      </c>
      <c r="L1118" s="542" t="s">
        <v>622</v>
      </c>
    </row>
    <row r="1119" spans="1:12" ht="15">
      <c r="A1119">
        <v>278182</v>
      </c>
      <c r="B1119" t="str">
        <f t="shared" ref="B1119:B1154" si="42">IF($A$2=1,D1119,IF($A$2=2,F1119,IF($A$2=3,G1119,IF($A$2=4,E1119,"zadat jazyk"))))</f>
        <v>SEVROLL spodná krycia lišta 2,35m RAL9005 ma</v>
      </c>
      <c r="C1119" s="209" t="e">
        <f t="shared" ref="C1119:C1154" si="43">IF($A$2=1,H1119,IF($A$2=2,I1119,IF($A$2=3,J1119,IF($A$2=4,K1119,"zadat jazyk"))))</f>
        <v>#N/A</v>
      </c>
      <c r="D1119" t="s">
        <v>4869</v>
      </c>
      <c r="E1119" t="s">
        <v>6257</v>
      </c>
      <c r="F1119" t="s">
        <v>6914</v>
      </c>
      <c r="G1119" t="s">
        <v>7442</v>
      </c>
      <c r="H1119" s="214">
        <v>0</v>
      </c>
      <c r="I1119" s="425" t="e">
        <v>#N/A</v>
      </c>
      <c r="J1119" s="91">
        <v>0</v>
      </c>
      <c r="K1119" s="425">
        <v>0</v>
      </c>
      <c r="L1119" s="542" t="s">
        <v>622</v>
      </c>
    </row>
    <row r="1120" spans="1:12" ht="15">
      <c r="A1120">
        <v>405105</v>
      </c>
      <c r="B1120" t="str">
        <f t="shared" si="42"/>
        <v>SEVROLL Alfa II lišta 18mm 2,7m RAL7016 lesk</v>
      </c>
      <c r="C1120" s="209" t="e">
        <f t="shared" si="43"/>
        <v>#N/A</v>
      </c>
      <c r="D1120" t="s">
        <v>4870</v>
      </c>
      <c r="E1120" t="s">
        <v>6258</v>
      </c>
      <c r="F1120" t="s">
        <v>4870</v>
      </c>
      <c r="G1120" t="s">
        <v>7443</v>
      </c>
      <c r="H1120" s="214">
        <v>0</v>
      </c>
      <c r="I1120" s="425" t="e">
        <v>#N/A</v>
      </c>
      <c r="J1120" s="91">
        <v>0</v>
      </c>
      <c r="K1120" s="425">
        <v>0</v>
      </c>
      <c r="L1120" s="542" t="s">
        <v>622</v>
      </c>
    </row>
    <row r="1121" spans="1:12" ht="15">
      <c r="A1121">
        <v>405106</v>
      </c>
      <c r="B1121" t="str">
        <f t="shared" si="42"/>
        <v>Sevroll Gemini horné vedenie 3m RAL7016 lesk</v>
      </c>
      <c r="C1121" s="209" t="e">
        <f t="shared" si="43"/>
        <v>#N/A</v>
      </c>
      <c r="D1121" t="s">
        <v>4871</v>
      </c>
      <c r="E1121" t="s">
        <v>6259</v>
      </c>
      <c r="F1121" t="s">
        <v>6915</v>
      </c>
      <c r="G1121" t="s">
        <v>7444</v>
      </c>
      <c r="H1121" s="214">
        <v>0</v>
      </c>
      <c r="I1121" s="425" t="e">
        <v>#N/A</v>
      </c>
      <c r="J1121" s="91">
        <v>0</v>
      </c>
      <c r="K1121" s="425">
        <v>0</v>
      </c>
      <c r="L1121" s="542" t="s">
        <v>622</v>
      </c>
    </row>
    <row r="1122" spans="1:12" ht="15">
      <c r="A1122">
        <v>405108</v>
      </c>
      <c r="B1122" t="str">
        <f t="shared" si="42"/>
        <v/>
      </c>
      <c r="C1122" s="209" t="e">
        <f t="shared" si="43"/>
        <v>#N/A</v>
      </c>
      <c r="D1122" t="s">
        <v>4872</v>
      </c>
      <c r="E1122" t="s">
        <v>6260</v>
      </c>
      <c r="F1122" t="s">
        <v>84</v>
      </c>
      <c r="G1122" t="s">
        <v>7445</v>
      </c>
      <c r="H1122" s="214">
        <v>0</v>
      </c>
      <c r="I1122" s="425" t="e">
        <v>#N/A</v>
      </c>
      <c r="J1122" s="91">
        <v>0</v>
      </c>
      <c r="K1122" s="425">
        <v>0</v>
      </c>
      <c r="L1122" s="542" t="s">
        <v>622</v>
      </c>
    </row>
    <row r="1123" spans="1:12" ht="15">
      <c r="A1123">
        <v>405111</v>
      </c>
      <c r="B1123" t="str">
        <f t="shared" si="42"/>
        <v/>
      </c>
      <c r="C1123" s="209" t="e">
        <f t="shared" si="43"/>
        <v>#N/A</v>
      </c>
      <c r="D1123" t="s">
        <v>4873</v>
      </c>
      <c r="E1123" t="s">
        <v>6261</v>
      </c>
      <c r="F1123" t="s">
        <v>84</v>
      </c>
      <c r="G1123" t="s">
        <v>7446</v>
      </c>
      <c r="H1123" s="214">
        <v>0</v>
      </c>
      <c r="I1123" s="425" t="e">
        <v>#N/A</v>
      </c>
      <c r="J1123" s="91">
        <v>0</v>
      </c>
      <c r="K1123" s="425">
        <v>0</v>
      </c>
      <c r="L1123" s="542" t="s">
        <v>6164</v>
      </c>
    </row>
    <row r="1124" spans="1:12" ht="15">
      <c r="A1124">
        <v>405112</v>
      </c>
      <c r="B1124" t="str">
        <f t="shared" si="42"/>
        <v/>
      </c>
      <c r="C1124" s="209" t="e">
        <f t="shared" si="43"/>
        <v>#N/A</v>
      </c>
      <c r="D1124" t="s">
        <v>4874</v>
      </c>
      <c r="E1124" t="s">
        <v>6262</v>
      </c>
      <c r="F1124" t="s">
        <v>84</v>
      </c>
      <c r="G1124" t="s">
        <v>84</v>
      </c>
      <c r="H1124" s="214">
        <v>0</v>
      </c>
      <c r="I1124" s="425" t="e">
        <v>#N/A</v>
      </c>
      <c r="J1124" s="91">
        <v>0</v>
      </c>
      <c r="K1124" s="425">
        <v>0</v>
      </c>
      <c r="L1124" s="542" t="s">
        <v>622</v>
      </c>
    </row>
    <row r="1125" spans="1:12" ht="15">
      <c r="A1125">
        <v>405114</v>
      </c>
      <c r="B1125" t="str">
        <f t="shared" si="42"/>
        <v/>
      </c>
      <c r="C1125" s="209" t="e">
        <f t="shared" si="43"/>
        <v>#N/A</v>
      </c>
      <c r="D1125" t="s">
        <v>4875</v>
      </c>
      <c r="E1125" t="s">
        <v>6263</v>
      </c>
      <c r="F1125" t="s">
        <v>84</v>
      </c>
      <c r="G1125" t="s">
        <v>84</v>
      </c>
      <c r="H1125" s="214">
        <v>0</v>
      </c>
      <c r="I1125" s="425" t="e">
        <v>#N/A</v>
      </c>
      <c r="J1125" s="91">
        <v>0</v>
      </c>
      <c r="K1125" s="425">
        <v>0</v>
      </c>
      <c r="L1125" s="542" t="s">
        <v>622</v>
      </c>
    </row>
    <row r="1126" spans="1:12" ht="15">
      <c r="A1126">
        <v>405115</v>
      </c>
      <c r="B1126" t="str">
        <f t="shared" si="42"/>
        <v>SEVROLL spojovaciá lišta "T" 3m strieborná</v>
      </c>
      <c r="C1126" s="209" t="e">
        <f t="shared" si="43"/>
        <v>#N/A</v>
      </c>
      <c r="D1126" t="s">
        <v>4876</v>
      </c>
      <c r="E1126" t="s">
        <v>6264</v>
      </c>
      <c r="F1126" t="s">
        <v>4220</v>
      </c>
      <c r="G1126" t="s">
        <v>7447</v>
      </c>
      <c r="H1126" s="214">
        <v>0</v>
      </c>
      <c r="I1126" s="425" t="e">
        <v>#N/A</v>
      </c>
      <c r="J1126" s="91">
        <v>0</v>
      </c>
      <c r="K1126" s="425">
        <v>0</v>
      </c>
      <c r="L1126" s="542" t="s">
        <v>622</v>
      </c>
    </row>
    <row r="1127" spans="1:12" ht="15">
      <c r="A1127">
        <v>405116</v>
      </c>
      <c r="B1127" t="str">
        <f t="shared" si="42"/>
        <v/>
      </c>
      <c r="C1127" s="209" t="e">
        <f t="shared" si="43"/>
        <v>#N/A</v>
      </c>
      <c r="D1127" t="s">
        <v>4877</v>
      </c>
      <c r="E1127" t="s">
        <v>6265</v>
      </c>
      <c r="F1127" t="s">
        <v>84</v>
      </c>
      <c r="G1127" t="s">
        <v>7448</v>
      </c>
      <c r="H1127" s="214">
        <v>0</v>
      </c>
      <c r="I1127" s="425" t="e">
        <v>#N/A</v>
      </c>
      <c r="J1127" s="91">
        <v>0</v>
      </c>
      <c r="K1127" s="425">
        <v>0</v>
      </c>
      <c r="L1127" s="542" t="s">
        <v>622</v>
      </c>
    </row>
    <row r="1128" spans="1:12" ht="15">
      <c r="A1128">
        <v>405221</v>
      </c>
      <c r="B1128" t="str">
        <f t="shared" si="42"/>
        <v>Sevroll zakázka Albakmen RAL9003 lesk</v>
      </c>
      <c r="C1128" s="209" t="e">
        <f t="shared" si="43"/>
        <v>#N/A</v>
      </c>
      <c r="D1128" t="s">
        <v>4878</v>
      </c>
      <c r="E1128" t="s">
        <v>6266</v>
      </c>
      <c r="F1128" t="s">
        <v>5597</v>
      </c>
      <c r="G1128" t="s">
        <v>7449</v>
      </c>
      <c r="H1128" s="214">
        <v>0</v>
      </c>
      <c r="I1128" s="425" t="e">
        <v>#N/A</v>
      </c>
      <c r="J1128" s="91">
        <v>0</v>
      </c>
      <c r="K1128" s="425">
        <v>0</v>
      </c>
      <c r="L1128" s="542" t="s">
        <v>622</v>
      </c>
    </row>
    <row r="1129" spans="1:12" ht="15">
      <c r="A1129">
        <v>381292</v>
      </c>
      <c r="B1129" t="e">
        <f t="shared" si="42"/>
        <v>#N/A</v>
      </c>
      <c r="C1129" s="209" t="e">
        <f t="shared" si="43"/>
        <v>#N/A</v>
      </c>
      <c r="D1129" t="s">
        <v>4879</v>
      </c>
      <c r="E1129" t="e">
        <v>#N/A</v>
      </c>
      <c r="F1129" t="e">
        <v>#N/A</v>
      </c>
      <c r="G1129" t="e">
        <v>#N/A</v>
      </c>
      <c r="H1129" s="214">
        <v>266.95746000000003</v>
      </c>
      <c r="I1129" s="425" t="e">
        <v>#N/A</v>
      </c>
      <c r="J1129" s="91">
        <v>49.854750000000003</v>
      </c>
      <c r="K1129" s="425">
        <v>3898.4730800000002</v>
      </c>
      <c r="L1129" s="542" t="s">
        <v>622</v>
      </c>
    </row>
    <row r="1130" spans="1:12" ht="15">
      <c r="A1130">
        <v>382056</v>
      </c>
      <c r="B1130" t="str">
        <f t="shared" si="42"/>
        <v/>
      </c>
      <c r="C1130" s="209" t="e">
        <f t="shared" si="43"/>
        <v>#N/A</v>
      </c>
      <c r="D1130" t="s">
        <v>4880</v>
      </c>
      <c r="E1130" t="s">
        <v>6267</v>
      </c>
      <c r="F1130" t="s">
        <v>84</v>
      </c>
      <c r="G1130" t="s">
        <v>84</v>
      </c>
      <c r="H1130" s="214">
        <v>0</v>
      </c>
      <c r="I1130" s="425" t="e">
        <v>#N/A</v>
      </c>
      <c r="J1130" s="91">
        <v>0</v>
      </c>
      <c r="K1130" s="425">
        <v>0</v>
      </c>
      <c r="L1130" s="542" t="s">
        <v>622</v>
      </c>
    </row>
    <row r="1131" spans="1:12" ht="15">
      <c r="A1131">
        <v>382058</v>
      </c>
      <c r="B1131" t="str">
        <f t="shared" si="42"/>
        <v/>
      </c>
      <c r="C1131" s="209" t="e">
        <f t="shared" si="43"/>
        <v>#N/A</v>
      </c>
      <c r="D1131" t="s">
        <v>4881</v>
      </c>
      <c r="E1131" t="s">
        <v>6268</v>
      </c>
      <c r="F1131" t="s">
        <v>84</v>
      </c>
      <c r="G1131" t="s">
        <v>84</v>
      </c>
      <c r="H1131" s="214">
        <v>0</v>
      </c>
      <c r="I1131" s="425" t="e">
        <v>#N/A</v>
      </c>
      <c r="J1131" s="91">
        <v>0</v>
      </c>
      <c r="K1131" s="425">
        <v>0</v>
      </c>
      <c r="L1131" s="542" t="s">
        <v>622</v>
      </c>
    </row>
    <row r="1132" spans="1:12" ht="15">
      <c r="A1132">
        <v>382059</v>
      </c>
      <c r="B1132" t="str">
        <f t="shared" si="42"/>
        <v/>
      </c>
      <c r="C1132" s="209" t="e">
        <f t="shared" si="43"/>
        <v>#N/A</v>
      </c>
      <c r="D1132" t="s">
        <v>4882</v>
      </c>
      <c r="E1132" t="s">
        <v>6269</v>
      </c>
      <c r="F1132" t="s">
        <v>84</v>
      </c>
      <c r="G1132" t="s">
        <v>84</v>
      </c>
      <c r="H1132" s="214">
        <v>0</v>
      </c>
      <c r="I1132" s="425" t="e">
        <v>#N/A</v>
      </c>
      <c r="J1132" s="91">
        <v>0</v>
      </c>
      <c r="K1132" s="425">
        <v>0</v>
      </c>
      <c r="L1132" s="542" t="s">
        <v>622</v>
      </c>
    </row>
    <row r="1133" spans="1:12" ht="15">
      <c r="A1133">
        <v>382212</v>
      </c>
      <c r="B1133" t="str">
        <f t="shared" si="42"/>
        <v/>
      </c>
      <c r="C1133" s="209" t="e">
        <f t="shared" si="43"/>
        <v>#N/A</v>
      </c>
      <c r="D1133" t="s">
        <v>4883</v>
      </c>
      <c r="E1133" t="s">
        <v>6270</v>
      </c>
      <c r="F1133" t="s">
        <v>84</v>
      </c>
      <c r="G1133" t="s">
        <v>84</v>
      </c>
      <c r="H1133" s="214">
        <v>0</v>
      </c>
      <c r="I1133" s="425" t="e">
        <v>#N/A</v>
      </c>
      <c r="J1133" s="91">
        <v>109.17907</v>
      </c>
      <c r="K1133" s="425">
        <v>0</v>
      </c>
      <c r="L1133" s="542" t="s">
        <v>622</v>
      </c>
    </row>
    <row r="1134" spans="1:12" ht="15">
      <c r="A1134">
        <v>382210</v>
      </c>
      <c r="B1134" t="str">
        <f t="shared" si="42"/>
        <v/>
      </c>
      <c r="C1134" s="209" t="e">
        <f t="shared" si="43"/>
        <v>#N/A</v>
      </c>
      <c r="D1134" t="s">
        <v>4884</v>
      </c>
      <c r="E1134" t="s">
        <v>6271</v>
      </c>
      <c r="F1134" t="s">
        <v>84</v>
      </c>
      <c r="G1134" t="s">
        <v>84</v>
      </c>
      <c r="H1134" s="214">
        <v>0</v>
      </c>
      <c r="I1134" s="425" t="e">
        <v>#N/A</v>
      </c>
      <c r="J1134" s="91">
        <v>81.142129999999995</v>
      </c>
      <c r="K1134" s="425">
        <v>0</v>
      </c>
      <c r="L1134" s="542" t="s">
        <v>622</v>
      </c>
    </row>
    <row r="1135" spans="1:12" ht="15">
      <c r="A1135">
        <v>382213</v>
      </c>
      <c r="B1135" t="str">
        <f t="shared" si="42"/>
        <v/>
      </c>
      <c r="C1135" s="209" t="e">
        <f t="shared" si="43"/>
        <v>#N/A</v>
      </c>
      <c r="D1135" t="s">
        <v>4885</v>
      </c>
      <c r="E1135" t="s">
        <v>6272</v>
      </c>
      <c r="F1135" t="s">
        <v>84</v>
      </c>
      <c r="G1135" t="s">
        <v>84</v>
      </c>
      <c r="H1135" s="214">
        <v>0</v>
      </c>
      <c r="I1135" s="425" t="e">
        <v>#N/A</v>
      </c>
      <c r="J1135" s="91">
        <v>56.572189999999999</v>
      </c>
      <c r="K1135" s="425">
        <v>0</v>
      </c>
      <c r="L1135" s="542" t="s">
        <v>622</v>
      </c>
    </row>
    <row r="1136" spans="1:12" ht="15">
      <c r="A1136">
        <v>382214</v>
      </c>
      <c r="B1136" t="str">
        <f t="shared" si="42"/>
        <v/>
      </c>
      <c r="C1136" s="209" t="e">
        <f t="shared" si="43"/>
        <v>#N/A</v>
      </c>
      <c r="D1136" t="s">
        <v>4886</v>
      </c>
      <c r="E1136" t="s">
        <v>6273</v>
      </c>
      <c r="F1136" t="s">
        <v>84</v>
      </c>
      <c r="G1136" t="s">
        <v>84</v>
      </c>
      <c r="H1136" s="214">
        <v>0</v>
      </c>
      <c r="I1136" s="425" t="e">
        <v>#N/A</v>
      </c>
      <c r="J1136" s="91">
        <v>44.219569999999997</v>
      </c>
      <c r="K1136" s="425">
        <v>0</v>
      </c>
      <c r="L1136" s="542" t="s">
        <v>622</v>
      </c>
    </row>
    <row r="1137" spans="1:12" ht="15">
      <c r="A1137">
        <v>382216</v>
      </c>
      <c r="B1137" t="str">
        <f t="shared" si="42"/>
        <v/>
      </c>
      <c r="C1137" s="209" t="e">
        <f t="shared" si="43"/>
        <v>#N/A</v>
      </c>
      <c r="D1137" t="s">
        <v>4887</v>
      </c>
      <c r="E1137" t="s">
        <v>6274</v>
      </c>
      <c r="F1137" t="s">
        <v>84</v>
      </c>
      <c r="G1137" t="s">
        <v>84</v>
      </c>
      <c r="H1137" s="214">
        <v>0</v>
      </c>
      <c r="I1137" s="425" t="e">
        <v>#N/A</v>
      </c>
      <c r="J1137" s="91">
        <v>86.035880000000006</v>
      </c>
      <c r="K1137" s="425">
        <v>0</v>
      </c>
      <c r="L1137" s="542" t="s">
        <v>622</v>
      </c>
    </row>
    <row r="1138" spans="1:12" ht="15">
      <c r="A1138">
        <v>382220</v>
      </c>
      <c r="B1138" t="e">
        <f t="shared" si="42"/>
        <v>#N/A</v>
      </c>
      <c r="C1138" s="209" t="e">
        <f t="shared" si="43"/>
        <v>#N/A</v>
      </c>
      <c r="D1138" t="s">
        <v>4888</v>
      </c>
      <c r="E1138" t="e">
        <v>#N/A</v>
      </c>
      <c r="F1138" t="e">
        <v>#N/A</v>
      </c>
      <c r="G1138" t="e">
        <v>#N/A</v>
      </c>
      <c r="H1138" s="214">
        <v>183.36472000000001</v>
      </c>
      <c r="I1138" s="425" t="e">
        <v>#N/A</v>
      </c>
      <c r="J1138" s="91">
        <v>34.243659999999998</v>
      </c>
      <c r="K1138" s="425">
        <v>2677.73909</v>
      </c>
      <c r="L1138" s="542" t="s">
        <v>622</v>
      </c>
    </row>
    <row r="1139" spans="1:12" ht="15">
      <c r="A1139">
        <v>455042</v>
      </c>
      <c r="B1139" t="e">
        <f t="shared" si="42"/>
        <v>#N/A</v>
      </c>
      <c r="C1139" s="209" t="e">
        <f t="shared" si="43"/>
        <v>#N/A</v>
      </c>
      <c r="D1139" t="s">
        <v>4889</v>
      </c>
      <c r="E1139" t="e">
        <v>#N/A</v>
      </c>
      <c r="F1139" t="e">
        <v>#N/A</v>
      </c>
      <c r="G1139" t="e">
        <v>#N/A</v>
      </c>
      <c r="H1139" s="214">
        <v>1538.1983299999999</v>
      </c>
      <c r="I1139" s="425" t="e">
        <v>#N/A</v>
      </c>
      <c r="J1139" s="91">
        <v>265.88774999999998</v>
      </c>
      <c r="K1139" s="425">
        <v>22490.932130000001</v>
      </c>
      <c r="L1139" s="542" t="s">
        <v>622</v>
      </c>
    </row>
    <row r="1140" spans="1:12" ht="15">
      <c r="A1140">
        <v>363467</v>
      </c>
      <c r="B1140" t="e">
        <f t="shared" si="42"/>
        <v>#N/A</v>
      </c>
      <c r="C1140" s="209" t="e">
        <f t="shared" si="43"/>
        <v>#N/A</v>
      </c>
      <c r="D1140" t="s">
        <v>4890</v>
      </c>
      <c r="E1140" t="e">
        <v>#N/A</v>
      </c>
      <c r="F1140" t="e">
        <v>#N/A</v>
      </c>
      <c r="G1140" t="e">
        <v>#N/A</v>
      </c>
      <c r="H1140" s="214">
        <v>217.88292000000001</v>
      </c>
      <c r="I1140" s="425" t="e">
        <v>#N/A</v>
      </c>
      <c r="J1140" s="91">
        <v>39.35331</v>
      </c>
      <c r="K1140" s="425">
        <v>3191.85178</v>
      </c>
      <c r="L1140" s="542" t="s">
        <v>622</v>
      </c>
    </row>
    <row r="1141" spans="1:12" ht="15">
      <c r="A1141">
        <v>364013</v>
      </c>
      <c r="B1141" t="str">
        <f t="shared" si="42"/>
        <v>Sevroll okrasná lišta S20 3m RAL9003 lesk</v>
      </c>
      <c r="C1141" s="209" t="e">
        <f t="shared" si="43"/>
        <v>#N/A</v>
      </c>
      <c r="D1141" t="s">
        <v>4891</v>
      </c>
      <c r="E1141" t="s">
        <v>6275</v>
      </c>
      <c r="F1141" t="s">
        <v>4891</v>
      </c>
      <c r="G1141" t="s">
        <v>7450</v>
      </c>
      <c r="H1141" s="214">
        <v>0</v>
      </c>
      <c r="I1141" s="425" t="e">
        <v>#N/A</v>
      </c>
      <c r="J1141" s="91">
        <v>0</v>
      </c>
      <c r="K1141" s="425">
        <v>0</v>
      </c>
      <c r="L1141" s="542" t="s">
        <v>622</v>
      </c>
    </row>
    <row r="1142" spans="1:12" ht="15">
      <c r="A1142">
        <v>160267</v>
      </c>
      <c r="B1142" t="e">
        <f t="shared" si="42"/>
        <v>#N/A</v>
      </c>
      <c r="C1142" s="209" t="e">
        <f t="shared" si="43"/>
        <v>#N/A</v>
      </c>
      <c r="D1142" t="s">
        <v>4892</v>
      </c>
      <c r="E1142" t="e">
        <v>#N/A</v>
      </c>
      <c r="F1142" t="e">
        <v>#N/A</v>
      </c>
      <c r="G1142" t="e">
        <v>#N/A</v>
      </c>
      <c r="H1142" s="214">
        <v>6.9432299999999998</v>
      </c>
      <c r="I1142" s="425" t="e">
        <v>#N/A</v>
      </c>
      <c r="J1142" s="91">
        <v>1.2967200000000001</v>
      </c>
      <c r="K1142" s="425">
        <v>104.56492</v>
      </c>
      <c r="L1142" s="542" t="s">
        <v>622</v>
      </c>
    </row>
    <row r="1143" spans="1:12" ht="15">
      <c r="A1143">
        <v>160268</v>
      </c>
      <c r="B1143" t="e">
        <f t="shared" si="42"/>
        <v>#N/A</v>
      </c>
      <c r="C1143" s="209" t="e">
        <f t="shared" si="43"/>
        <v>#N/A</v>
      </c>
      <c r="D1143" t="s">
        <v>4893</v>
      </c>
      <c r="E1143" t="e">
        <v>#N/A</v>
      </c>
      <c r="F1143" t="e">
        <v>#N/A</v>
      </c>
      <c r="G1143" t="e">
        <v>#N/A</v>
      </c>
      <c r="H1143" s="214">
        <v>77.521500000000003</v>
      </c>
      <c r="I1143" s="425" t="e">
        <v>#N/A</v>
      </c>
      <c r="J1143" s="91">
        <v>14.478009999999999</v>
      </c>
      <c r="K1143" s="425">
        <v>1132.1323400000001</v>
      </c>
      <c r="L1143" s="542" t="s">
        <v>622</v>
      </c>
    </row>
    <row r="1144" spans="1:12" ht="15">
      <c r="A1144">
        <v>160269</v>
      </c>
      <c r="B1144" t="e">
        <f t="shared" si="42"/>
        <v>#N/A</v>
      </c>
      <c r="C1144" s="209" t="e">
        <f t="shared" si="43"/>
        <v>#N/A</v>
      </c>
      <c r="D1144" t="s">
        <v>4894</v>
      </c>
      <c r="E1144" t="e">
        <v>#N/A</v>
      </c>
      <c r="F1144" t="e">
        <v>#N/A</v>
      </c>
      <c r="G1144" t="e">
        <v>#N/A</v>
      </c>
      <c r="H1144" s="214">
        <v>95.8185</v>
      </c>
      <c r="I1144" s="425" t="e">
        <v>#N/A</v>
      </c>
      <c r="J1144" s="91">
        <v>17.89518</v>
      </c>
      <c r="K1144" s="425">
        <v>1399.3436899999999</v>
      </c>
      <c r="L1144" s="542" t="s">
        <v>622</v>
      </c>
    </row>
    <row r="1145" spans="1:12" ht="15">
      <c r="A1145">
        <v>160270</v>
      </c>
      <c r="B1145" t="e">
        <f t="shared" si="42"/>
        <v>#N/A</v>
      </c>
      <c r="C1145" s="209" t="e">
        <f t="shared" si="43"/>
        <v>#N/A</v>
      </c>
      <c r="D1145" t="s">
        <v>4895</v>
      </c>
      <c r="E1145" t="e">
        <v>#N/A</v>
      </c>
      <c r="F1145" t="e">
        <v>#N/A</v>
      </c>
      <c r="G1145" t="e">
        <v>#N/A</v>
      </c>
      <c r="H1145" s="214">
        <v>320.19749999999999</v>
      </c>
      <c r="I1145" s="425" t="e">
        <v>#N/A</v>
      </c>
      <c r="J1145" s="91">
        <v>59.800510000000003</v>
      </c>
      <c r="K1145" s="425">
        <v>4676.19877</v>
      </c>
      <c r="L1145" s="542" t="s">
        <v>622</v>
      </c>
    </row>
    <row r="1146" spans="1:12" ht="15">
      <c r="A1146">
        <v>160271</v>
      </c>
      <c r="B1146" t="e">
        <f t="shared" si="42"/>
        <v>#N/A</v>
      </c>
      <c r="C1146" s="209" t="e">
        <f t="shared" si="43"/>
        <v>#N/A</v>
      </c>
      <c r="D1146" t="s">
        <v>4896</v>
      </c>
      <c r="E1146" t="e">
        <v>#N/A</v>
      </c>
      <c r="F1146" t="e">
        <v>#N/A</v>
      </c>
      <c r="G1146" t="e">
        <v>#N/A</v>
      </c>
      <c r="H1146" s="214">
        <v>384.23700000000002</v>
      </c>
      <c r="I1146" s="425" t="e">
        <v>#N/A</v>
      </c>
      <c r="J1146" s="91">
        <v>71.76061</v>
      </c>
      <c r="K1146" s="425">
        <v>5611.4385199999997</v>
      </c>
      <c r="L1146" s="542" t="s">
        <v>622</v>
      </c>
    </row>
    <row r="1147" spans="1:12" ht="15">
      <c r="A1147">
        <v>160272</v>
      </c>
      <c r="B1147" t="e">
        <f t="shared" si="42"/>
        <v>#N/A</v>
      </c>
      <c r="C1147" s="209" t="e">
        <f t="shared" si="43"/>
        <v>#N/A</v>
      </c>
      <c r="D1147" t="s">
        <v>4897</v>
      </c>
      <c r="E1147" t="e">
        <v>#N/A</v>
      </c>
      <c r="F1147" t="e">
        <v>#N/A</v>
      </c>
      <c r="G1147" t="e">
        <v>#N/A</v>
      </c>
      <c r="H1147" s="214">
        <v>11.109170000000001</v>
      </c>
      <c r="I1147" s="425" t="e">
        <v>#N/A</v>
      </c>
      <c r="J1147" s="91">
        <v>2.0747599999999999</v>
      </c>
      <c r="K1147" s="425">
        <v>167.30386999999999</v>
      </c>
      <c r="L1147" s="542" t="s">
        <v>622</v>
      </c>
    </row>
    <row r="1148" spans="1:12" ht="15">
      <c r="A1148">
        <v>162050</v>
      </c>
      <c r="B1148" t="e">
        <f t="shared" si="42"/>
        <v>#N/A</v>
      </c>
      <c r="C1148" s="209" t="e">
        <f t="shared" si="43"/>
        <v>#N/A</v>
      </c>
      <c r="D1148" t="s">
        <v>4898</v>
      </c>
      <c r="E1148" t="e">
        <v>#N/A</v>
      </c>
      <c r="F1148" t="e">
        <v>#N/A</v>
      </c>
      <c r="G1148" t="e">
        <v>#N/A</v>
      </c>
      <c r="H1148" s="214">
        <v>42.113720000000001</v>
      </c>
      <c r="I1148" s="425" t="e">
        <v>#N/A</v>
      </c>
      <c r="J1148" s="91">
        <v>9.4190900000000006</v>
      </c>
      <c r="K1148" s="425">
        <v>752.86740999999995</v>
      </c>
      <c r="L1148" s="542" t="s">
        <v>622</v>
      </c>
    </row>
    <row r="1149" spans="1:12" ht="15">
      <c r="A1149">
        <v>169986</v>
      </c>
      <c r="B1149" t="e">
        <f t="shared" si="42"/>
        <v>#N/A</v>
      </c>
      <c r="C1149" s="209" t="e">
        <f t="shared" si="43"/>
        <v>#N/A</v>
      </c>
      <c r="D1149" t="s">
        <v>4899</v>
      </c>
      <c r="E1149" t="e">
        <v>#N/A</v>
      </c>
      <c r="F1149" t="e">
        <v>#N/A</v>
      </c>
      <c r="G1149" t="e">
        <v>#N/A</v>
      </c>
      <c r="H1149" s="214">
        <v>174.90549999999999</v>
      </c>
      <c r="I1149" s="425" t="e">
        <v>#N/A</v>
      </c>
      <c r="J1149" s="91">
        <v>39.119059999999998</v>
      </c>
      <c r="K1149" s="425">
        <v>0</v>
      </c>
      <c r="L1149" s="542" t="s">
        <v>622</v>
      </c>
    </row>
    <row r="1150" spans="1:12" ht="15">
      <c r="A1150">
        <v>169987</v>
      </c>
      <c r="B1150" t="e">
        <f t="shared" si="42"/>
        <v>#N/A</v>
      </c>
      <c r="C1150" s="209" t="e">
        <f t="shared" si="43"/>
        <v>#N/A</v>
      </c>
      <c r="D1150" t="s">
        <v>4900</v>
      </c>
      <c r="E1150" t="e">
        <v>#N/A</v>
      </c>
      <c r="F1150" t="e">
        <v>#N/A</v>
      </c>
      <c r="G1150" t="e">
        <v>#N/A</v>
      </c>
      <c r="H1150" s="214">
        <v>64.340239999999994</v>
      </c>
      <c r="I1150" s="425" t="e">
        <v>#N/A</v>
      </c>
      <c r="J1150" s="91">
        <v>14.390230000000001</v>
      </c>
      <c r="K1150" s="425">
        <v>1150.21408</v>
      </c>
      <c r="L1150" s="542" t="s">
        <v>622</v>
      </c>
    </row>
    <row r="1151" spans="1:12" ht="15">
      <c r="A1151">
        <v>362284</v>
      </c>
      <c r="B1151" t="str">
        <f t="shared" si="42"/>
        <v>SEVROLL zakázka Dobalex</v>
      </c>
      <c r="C1151" s="209" t="e">
        <f t="shared" si="43"/>
        <v>#N/A</v>
      </c>
      <c r="D1151" t="s">
        <v>4901</v>
      </c>
      <c r="E1151" t="s">
        <v>6276</v>
      </c>
      <c r="F1151" t="s">
        <v>4901</v>
      </c>
      <c r="G1151" t="s">
        <v>7451</v>
      </c>
      <c r="H1151" s="214">
        <v>1996.874</v>
      </c>
      <c r="I1151" s="425" t="e">
        <v>#N/A</v>
      </c>
      <c r="J1151" s="91">
        <v>336.97248999999999</v>
      </c>
      <c r="K1151" s="425">
        <v>28595.53688</v>
      </c>
      <c r="L1151" s="542" t="s">
        <v>622</v>
      </c>
    </row>
    <row r="1152" spans="1:12" ht="15">
      <c r="A1152">
        <v>362325</v>
      </c>
      <c r="B1152" t="e">
        <f t="shared" si="42"/>
        <v>#N/A</v>
      </c>
      <c r="C1152" s="209" t="e">
        <f t="shared" si="43"/>
        <v>#N/A</v>
      </c>
      <c r="D1152" t="s">
        <v>4902</v>
      </c>
      <c r="E1152" t="e">
        <v>#N/A</v>
      </c>
      <c r="F1152" t="e">
        <v>#N/A</v>
      </c>
      <c r="G1152" t="e">
        <v>#N/A</v>
      </c>
      <c r="H1152" s="214">
        <v>9</v>
      </c>
      <c r="I1152" s="425" t="e">
        <v>#N/A</v>
      </c>
      <c r="J1152" s="91">
        <v>1.5411300000000001</v>
      </c>
      <c r="K1152" s="425">
        <v>112.74661999999999</v>
      </c>
      <c r="L1152" s="542" t="s">
        <v>622</v>
      </c>
    </row>
    <row r="1153" spans="1:12" ht="15">
      <c r="A1153">
        <v>362326</v>
      </c>
      <c r="B1153" t="e">
        <f t="shared" si="42"/>
        <v>#N/A</v>
      </c>
      <c r="C1153" s="209" t="e">
        <f t="shared" si="43"/>
        <v>#N/A</v>
      </c>
      <c r="D1153" t="s">
        <v>4903</v>
      </c>
      <c r="E1153" t="e">
        <v>#N/A</v>
      </c>
      <c r="F1153" t="e">
        <v>#N/A</v>
      </c>
      <c r="G1153" t="e">
        <v>#N/A</v>
      </c>
      <c r="H1153" s="214">
        <v>5.4</v>
      </c>
      <c r="I1153" s="425" t="e">
        <v>#N/A</v>
      </c>
      <c r="J1153" s="91">
        <v>0.92469000000000001</v>
      </c>
      <c r="K1153" s="425">
        <v>67.647980000000004</v>
      </c>
      <c r="L1153" s="542" t="s">
        <v>622</v>
      </c>
    </row>
    <row r="1154" spans="1:12" ht="15">
      <c r="A1154">
        <v>362328</v>
      </c>
      <c r="B1154" t="e">
        <f t="shared" si="42"/>
        <v>#N/A</v>
      </c>
      <c r="C1154" s="209" t="e">
        <f t="shared" si="43"/>
        <v>#N/A</v>
      </c>
      <c r="D1154" t="s">
        <v>4904</v>
      </c>
      <c r="E1154" t="e">
        <v>#N/A</v>
      </c>
      <c r="F1154" t="e">
        <v>#N/A</v>
      </c>
      <c r="G1154" t="e">
        <v>#N/A</v>
      </c>
      <c r="H1154" s="214">
        <v>513</v>
      </c>
      <c r="I1154" s="425" t="e">
        <v>#N/A</v>
      </c>
      <c r="J1154" s="91">
        <v>87.844939999999994</v>
      </c>
      <c r="K1154" s="425">
        <v>6426.5579100000004</v>
      </c>
      <c r="L1154" s="542" t="s">
        <v>622</v>
      </c>
    </row>
    <row r="1155" spans="1:12" ht="15">
      <c r="A1155">
        <v>362354</v>
      </c>
      <c r="B1155" t="str">
        <f t="shared" ref="B1155:B1195" si="44">IF($A$2=1,D1155,IF($A$2=2,F1155,IF($A$2=3,G1155,IF($A$2=4,E1155,"zadat jazyk"))))</f>
        <v>SEVROLL reklamné dvierko Blue 10 (8ks)</v>
      </c>
      <c r="C1155" s="209" t="e">
        <f t="shared" ref="C1155:C1195" si="45">IF($A$2=1,H1155,IF($A$2=2,I1155,IF($A$2=3,J1155,IF($A$2=4,K1155,"zadat jazyk"))))</f>
        <v>#N/A</v>
      </c>
      <c r="D1155" t="s">
        <v>4905</v>
      </c>
      <c r="E1155" t="s">
        <v>6277</v>
      </c>
      <c r="F1155" t="s">
        <v>6916</v>
      </c>
      <c r="G1155" t="s">
        <v>7452</v>
      </c>
      <c r="H1155" s="214">
        <v>0</v>
      </c>
      <c r="I1155" s="425" t="e">
        <v>#N/A</v>
      </c>
      <c r="J1155" s="91">
        <v>0</v>
      </c>
      <c r="K1155" s="425">
        <v>0</v>
      </c>
      <c r="L1155" s="542" t="s">
        <v>622</v>
      </c>
    </row>
    <row r="1156" spans="1:12" ht="15">
      <c r="A1156">
        <v>362441</v>
      </c>
      <c r="B1156" t="str">
        <f t="shared" si="44"/>
        <v>SEVROLL Gemini horní vedení 4,05m RAL9003 mat</v>
      </c>
      <c r="C1156" s="209" t="e">
        <f t="shared" si="45"/>
        <v>#N/A</v>
      </c>
      <c r="D1156" t="s">
        <v>4906</v>
      </c>
      <c r="E1156" t="s">
        <v>6278</v>
      </c>
      <c r="F1156" t="s">
        <v>4906</v>
      </c>
      <c r="G1156" t="s">
        <v>7453</v>
      </c>
      <c r="H1156" s="214">
        <v>0</v>
      </c>
      <c r="I1156" s="425" t="e">
        <v>#N/A</v>
      </c>
      <c r="J1156" s="91">
        <v>0</v>
      </c>
      <c r="K1156" s="425">
        <v>0</v>
      </c>
      <c r="L1156" s="542" t="s">
        <v>622</v>
      </c>
    </row>
    <row r="1157" spans="1:12" ht="15">
      <c r="A1157">
        <v>362443</v>
      </c>
      <c r="B1157" t="str">
        <f t="shared" si="44"/>
        <v>SEVROLL spodná krycia lišta 1,7m RAL9003 mat</v>
      </c>
      <c r="C1157" s="209" t="e">
        <f t="shared" si="45"/>
        <v>#N/A</v>
      </c>
      <c r="D1157" t="s">
        <v>4907</v>
      </c>
      <c r="E1157" t="s">
        <v>6279</v>
      </c>
      <c r="F1157" t="s">
        <v>6917</v>
      </c>
      <c r="G1157" t="s">
        <v>7454</v>
      </c>
      <c r="H1157" s="214">
        <v>813.02323000000001</v>
      </c>
      <c r="I1157" s="425" t="e">
        <v>#N/A</v>
      </c>
      <c r="J1157" s="91">
        <v>103.17948</v>
      </c>
      <c r="K1157" s="425">
        <v>9211.7834299999995</v>
      </c>
      <c r="L1157" s="542" t="s">
        <v>622</v>
      </c>
    </row>
    <row r="1158" spans="1:12" ht="15">
      <c r="A1158">
        <v>362451</v>
      </c>
      <c r="B1158" t="str">
        <f t="shared" si="44"/>
        <v>SEVROLL horná vodiaca lišta 1,7m RAL9003 mat</v>
      </c>
      <c r="C1158" s="209" t="e">
        <f t="shared" si="45"/>
        <v>#N/A</v>
      </c>
      <c r="D1158" t="s">
        <v>4908</v>
      </c>
      <c r="E1158" t="s">
        <v>6280</v>
      </c>
      <c r="F1158" t="s">
        <v>6918</v>
      </c>
      <c r="G1158" t="s">
        <v>7455</v>
      </c>
      <c r="H1158" s="214">
        <v>436.40217999999999</v>
      </c>
      <c r="I1158" s="425" t="e">
        <v>#N/A</v>
      </c>
      <c r="J1158" s="91">
        <v>55.383099999999999</v>
      </c>
      <c r="K1158" s="425">
        <v>4944.56023</v>
      </c>
      <c r="L1158" s="542" t="s">
        <v>622</v>
      </c>
    </row>
    <row r="1159" spans="1:12" ht="15">
      <c r="A1159">
        <v>362913</v>
      </c>
      <c r="B1159" t="str">
        <f t="shared" si="44"/>
        <v/>
      </c>
      <c r="C1159" s="209">
        <f t="shared" si="45"/>
        <v>34.974899999999998</v>
      </c>
      <c r="D1159" t="s">
        <v>4909</v>
      </c>
      <c r="E1159" t="s">
        <v>6281</v>
      </c>
      <c r="F1159" t="s">
        <v>84</v>
      </c>
      <c r="G1159" t="s">
        <v>7456</v>
      </c>
      <c r="H1159" s="214">
        <v>1023.39584</v>
      </c>
      <c r="I1159" s="425">
        <v>34.974899999999998</v>
      </c>
      <c r="J1159" s="91">
        <v>120.94</v>
      </c>
      <c r="K1159" s="425">
        <v>11595.36464</v>
      </c>
      <c r="L1159" s="542" t="s">
        <v>622</v>
      </c>
    </row>
    <row r="1160" spans="1:12" ht="15">
      <c r="A1160">
        <v>294380</v>
      </c>
      <c r="B1160" t="e">
        <f t="shared" si="44"/>
        <v>#N/A</v>
      </c>
      <c r="C1160" s="209" t="e">
        <f t="shared" si="45"/>
        <v>#N/A</v>
      </c>
      <c r="D1160" t="s">
        <v>4910</v>
      </c>
      <c r="E1160" t="e">
        <v>#N/A</v>
      </c>
      <c r="F1160" t="e">
        <v>#N/A</v>
      </c>
      <c r="G1160" t="e">
        <v>#N/A</v>
      </c>
      <c r="H1160" s="214">
        <v>221.375</v>
      </c>
      <c r="I1160" s="425" t="e">
        <v>#N/A</v>
      </c>
      <c r="J1160" s="91">
        <v>49.912860000000002</v>
      </c>
      <c r="K1160" s="425">
        <v>4254.5463499999996</v>
      </c>
      <c r="L1160" s="542" t="s">
        <v>622</v>
      </c>
    </row>
    <row r="1161" spans="1:12" ht="15">
      <c r="A1161">
        <v>294384</v>
      </c>
      <c r="B1161" t="e">
        <f t="shared" si="44"/>
        <v>#N/A</v>
      </c>
      <c r="C1161" s="209" t="e">
        <f t="shared" si="45"/>
        <v>#N/A</v>
      </c>
      <c r="D1161" t="s">
        <v>4911</v>
      </c>
      <c r="E1161" t="e">
        <v>#N/A</v>
      </c>
      <c r="F1161" t="e">
        <v>#N/A</v>
      </c>
      <c r="G1161" t="e">
        <v>#N/A</v>
      </c>
      <c r="H1161" s="214">
        <v>407.57499999999999</v>
      </c>
      <c r="I1161" s="425" t="e">
        <v>#N/A</v>
      </c>
      <c r="J1161" s="91">
        <v>91.894869999999997</v>
      </c>
      <c r="K1161" s="425">
        <v>7833.0736699999998</v>
      </c>
      <c r="L1161" s="542" t="s">
        <v>622</v>
      </c>
    </row>
    <row r="1162" spans="1:12" ht="15">
      <c r="A1162">
        <v>294431</v>
      </c>
      <c r="B1162" t="e">
        <f t="shared" si="44"/>
        <v>#N/A</v>
      </c>
      <c r="C1162" s="209" t="e">
        <f t="shared" si="45"/>
        <v>#N/A</v>
      </c>
      <c r="D1162" t="s">
        <v>4912</v>
      </c>
      <c r="E1162" t="e">
        <v>#N/A</v>
      </c>
      <c r="F1162" t="e">
        <v>#N/A</v>
      </c>
      <c r="G1162" t="e">
        <v>#N/A</v>
      </c>
      <c r="H1162" s="214">
        <v>537.25</v>
      </c>
      <c r="I1162" s="425" t="e">
        <v>#N/A</v>
      </c>
      <c r="J1162" s="91">
        <v>121.13236999999999</v>
      </c>
      <c r="K1162" s="425">
        <v>10325.26232</v>
      </c>
      <c r="L1162" s="542" t="s">
        <v>622</v>
      </c>
    </row>
    <row r="1163" spans="1:12" ht="15">
      <c r="A1163">
        <v>294476</v>
      </c>
      <c r="B1163" t="e">
        <f t="shared" si="44"/>
        <v>#N/A</v>
      </c>
      <c r="C1163" s="209" t="e">
        <f t="shared" si="45"/>
        <v>#N/A</v>
      </c>
      <c r="D1163" t="s">
        <v>4913</v>
      </c>
      <c r="E1163" t="e">
        <v>#N/A</v>
      </c>
      <c r="F1163" t="e">
        <v>#N/A</v>
      </c>
      <c r="G1163" t="e">
        <v>#N/A</v>
      </c>
      <c r="H1163" s="214">
        <v>923.44958999999994</v>
      </c>
      <c r="I1163" s="425" t="e">
        <v>#N/A</v>
      </c>
      <c r="J1163" s="91">
        <v>172.46465000000001</v>
      </c>
      <c r="K1163" s="425">
        <v>13907.133980000001</v>
      </c>
      <c r="L1163" s="542" t="s">
        <v>622</v>
      </c>
    </row>
    <row r="1164" spans="1:12" ht="15">
      <c r="A1164">
        <v>294482</v>
      </c>
      <c r="B1164" t="e">
        <f t="shared" si="44"/>
        <v>#N/A</v>
      </c>
      <c r="C1164" s="209" t="e">
        <f t="shared" si="45"/>
        <v>#N/A</v>
      </c>
      <c r="D1164" t="s">
        <v>4914</v>
      </c>
      <c r="E1164" t="e">
        <v>#N/A</v>
      </c>
      <c r="F1164" t="e">
        <v>#N/A</v>
      </c>
      <c r="G1164" t="e">
        <v>#N/A</v>
      </c>
      <c r="H1164" s="214">
        <v>744.91917999999998</v>
      </c>
      <c r="I1164" s="425" t="e">
        <v>#N/A</v>
      </c>
      <c r="J1164" s="91">
        <v>139.11487</v>
      </c>
      <c r="K1164" s="425">
        <v>10878.31502</v>
      </c>
      <c r="L1164" s="542" t="s">
        <v>622</v>
      </c>
    </row>
    <row r="1165" spans="1:12" ht="15">
      <c r="A1165">
        <v>294483</v>
      </c>
      <c r="B1165" t="e">
        <f t="shared" si="44"/>
        <v>#N/A</v>
      </c>
      <c r="C1165" s="209" t="e">
        <f t="shared" si="45"/>
        <v>#N/A</v>
      </c>
      <c r="D1165" t="s">
        <v>4915</v>
      </c>
      <c r="E1165" t="e">
        <v>#N/A</v>
      </c>
      <c r="F1165" t="e">
        <v>#N/A</v>
      </c>
      <c r="G1165" t="e">
        <v>#N/A</v>
      </c>
      <c r="H1165" s="214">
        <v>387.62761999999998</v>
      </c>
      <c r="I1165" s="425" t="e">
        <v>#N/A</v>
      </c>
      <c r="J1165" s="91">
        <v>72.390090000000001</v>
      </c>
      <c r="K1165" s="425">
        <v>5660.6616599999998</v>
      </c>
      <c r="L1165" s="542" t="s">
        <v>622</v>
      </c>
    </row>
    <row r="1166" spans="1:12" ht="15">
      <c r="A1166">
        <v>294484</v>
      </c>
      <c r="B1166" t="e">
        <f t="shared" si="44"/>
        <v>#N/A</v>
      </c>
      <c r="C1166" s="209" t="e">
        <f t="shared" si="45"/>
        <v>#N/A</v>
      </c>
      <c r="D1166" t="s">
        <v>4916</v>
      </c>
      <c r="E1166" t="e">
        <v>#N/A</v>
      </c>
      <c r="F1166" t="e">
        <v>#N/A</v>
      </c>
      <c r="G1166" t="e">
        <v>#N/A</v>
      </c>
      <c r="H1166" s="214">
        <v>77.525530000000003</v>
      </c>
      <c r="I1166" s="425" t="e">
        <v>#N/A</v>
      </c>
      <c r="J1166" s="91">
        <v>14.478009999999999</v>
      </c>
      <c r="K1166" s="425">
        <v>1132.1323400000001</v>
      </c>
      <c r="L1166" s="542" t="s">
        <v>622</v>
      </c>
    </row>
    <row r="1167" spans="1:12" ht="15">
      <c r="A1167">
        <v>294485</v>
      </c>
      <c r="B1167" t="e">
        <f t="shared" si="44"/>
        <v>#N/A</v>
      </c>
      <c r="C1167" s="209" t="e">
        <f t="shared" si="45"/>
        <v>#N/A</v>
      </c>
      <c r="D1167" t="s">
        <v>4917</v>
      </c>
      <c r="E1167" t="e">
        <v>#N/A</v>
      </c>
      <c r="F1167" t="e">
        <v>#N/A</v>
      </c>
      <c r="G1167" t="e">
        <v>#N/A</v>
      </c>
      <c r="H1167" s="214">
        <v>670.76432999999997</v>
      </c>
      <c r="I1167" s="425" t="e">
        <v>#N/A</v>
      </c>
      <c r="J1167" s="91">
        <v>125.26631999999999</v>
      </c>
      <c r="K1167" s="425">
        <v>9795.4058399999994</v>
      </c>
      <c r="L1167" s="542" t="s">
        <v>622</v>
      </c>
    </row>
    <row r="1168" spans="1:12" ht="15">
      <c r="A1168">
        <v>294486</v>
      </c>
      <c r="B1168" t="e">
        <f t="shared" si="44"/>
        <v>#N/A</v>
      </c>
      <c r="C1168" s="209" t="e">
        <f t="shared" si="45"/>
        <v>#N/A</v>
      </c>
      <c r="D1168" t="s">
        <v>4918</v>
      </c>
      <c r="E1168" t="e">
        <v>#N/A</v>
      </c>
      <c r="F1168" t="e">
        <v>#N/A</v>
      </c>
      <c r="G1168" t="e">
        <v>#N/A</v>
      </c>
      <c r="H1168" s="214">
        <v>940.41832999999997</v>
      </c>
      <c r="I1168" s="425" t="e">
        <v>#N/A</v>
      </c>
      <c r="J1168" s="91">
        <v>175.62464</v>
      </c>
      <c r="K1168" s="425">
        <v>13733.257439999999</v>
      </c>
      <c r="L1168" s="542" t="s">
        <v>622</v>
      </c>
    </row>
    <row r="1169" spans="1:12" ht="15">
      <c r="A1169">
        <v>394802</v>
      </c>
      <c r="B1169" t="str">
        <f t="shared" si="44"/>
        <v>SEVROLL Gemini horné vedenie 1,7m biela mat</v>
      </c>
      <c r="C1169" s="209">
        <f t="shared" si="45"/>
        <v>21.35614</v>
      </c>
      <c r="D1169" t="s">
        <v>4919</v>
      </c>
      <c r="E1169" t="s">
        <v>6282</v>
      </c>
      <c r="F1169" t="s">
        <v>6919</v>
      </c>
      <c r="G1169" t="s">
        <v>7457</v>
      </c>
      <c r="H1169" s="214">
        <v>547.99360000000001</v>
      </c>
      <c r="I1169" s="425">
        <v>21.35614</v>
      </c>
      <c r="J1169" s="91">
        <v>76.52</v>
      </c>
      <c r="K1169" s="425">
        <v>6208.9226399999998</v>
      </c>
      <c r="L1169" s="542" t="s">
        <v>621</v>
      </c>
    </row>
    <row r="1170" spans="1:12" ht="15">
      <c r="A1170">
        <v>394813</v>
      </c>
      <c r="B1170" t="str">
        <f t="shared" si="44"/>
        <v>SEVROLL Gemini horné vedenie 2,35 biela mat</v>
      </c>
      <c r="C1170" s="209">
        <f t="shared" si="45"/>
        <v>29.503299999999999</v>
      </c>
      <c r="D1170" t="s">
        <v>4920</v>
      </c>
      <c r="E1170" t="s">
        <v>6283</v>
      </c>
      <c r="F1170" t="s">
        <v>6920</v>
      </c>
      <c r="G1170" t="s">
        <v>7458</v>
      </c>
      <c r="H1170" s="214">
        <v>757.22752000000003</v>
      </c>
      <c r="I1170" s="425">
        <v>29.503299999999999</v>
      </c>
      <c r="J1170" s="91">
        <v>105.78</v>
      </c>
      <c r="K1170" s="425">
        <v>8579.6022099999991</v>
      </c>
      <c r="L1170" s="542" t="s">
        <v>621</v>
      </c>
    </row>
    <row r="1171" spans="1:12" ht="15">
      <c r="A1171">
        <v>394815</v>
      </c>
      <c r="B1171" t="str">
        <f t="shared" si="44"/>
        <v>SEVROLL Gemini horné vedenie 4,05m biela mat</v>
      </c>
      <c r="C1171" s="209">
        <f t="shared" si="45"/>
        <v>50.787129999999998</v>
      </c>
      <c r="D1171" t="s">
        <v>4921</v>
      </c>
      <c r="E1171" t="s">
        <v>6284</v>
      </c>
      <c r="F1171" t="s">
        <v>6921</v>
      </c>
      <c r="G1171" t="s">
        <v>7459</v>
      </c>
      <c r="H1171" s="214">
        <v>1303.7977599999999</v>
      </c>
      <c r="I1171" s="425">
        <v>50.787129999999998</v>
      </c>
      <c r="J1171" s="91">
        <v>182.35</v>
      </c>
      <c r="K1171" s="425">
        <v>14772.397790000001</v>
      </c>
      <c r="L1171" s="542" t="s">
        <v>621</v>
      </c>
    </row>
    <row r="1172" spans="1:12" ht="15">
      <c r="A1172">
        <v>394824</v>
      </c>
      <c r="B1172" t="str">
        <f t="shared" si="44"/>
        <v>SEVROLL Gemini horné vedenie 6m biela mat</v>
      </c>
      <c r="C1172" s="209">
        <f t="shared" si="45"/>
        <v>75.276790000000005</v>
      </c>
      <c r="D1172" t="s">
        <v>4922</v>
      </c>
      <c r="E1172" t="s">
        <v>6285</v>
      </c>
      <c r="F1172" t="s">
        <v>6922</v>
      </c>
      <c r="G1172" t="s">
        <v>7460</v>
      </c>
      <c r="H1172" s="214">
        <v>1932.9228800000001</v>
      </c>
      <c r="I1172" s="425">
        <v>75.276790000000005</v>
      </c>
      <c r="J1172" s="91">
        <v>270.14</v>
      </c>
      <c r="K1172" s="425">
        <v>21900.563539999999</v>
      </c>
      <c r="L1172" s="542" t="s">
        <v>622</v>
      </c>
    </row>
    <row r="1173" spans="1:12" ht="15">
      <c r="A1173">
        <v>394825</v>
      </c>
      <c r="B1173" t="str">
        <f t="shared" si="44"/>
        <v>SEVROLL uholník 17x11mm 1,7m biela mat</v>
      </c>
      <c r="C1173" s="209">
        <f t="shared" si="45"/>
        <v>3.6638099999999998</v>
      </c>
      <c r="D1173" t="s">
        <v>4923</v>
      </c>
      <c r="E1173" t="s">
        <v>6286</v>
      </c>
      <c r="F1173" t="s">
        <v>6923</v>
      </c>
      <c r="G1173" t="s">
        <v>7461</v>
      </c>
      <c r="H1173" s="214">
        <v>96.788480000000007</v>
      </c>
      <c r="I1173" s="425">
        <v>3.6638099999999998</v>
      </c>
      <c r="J1173" s="91">
        <v>12.51</v>
      </c>
      <c r="K1173" s="425">
        <v>1096.6409000000001</v>
      </c>
      <c r="L1173" s="542" t="s">
        <v>621</v>
      </c>
    </row>
    <row r="1174" spans="1:12" ht="15">
      <c r="A1174">
        <v>394826</v>
      </c>
      <c r="B1174" t="str">
        <f t="shared" si="44"/>
        <v>SEVROLL uholník 17x11mm 2,35m biela mat</v>
      </c>
      <c r="C1174" s="209">
        <f t="shared" si="45"/>
        <v>5.1100500000000002</v>
      </c>
      <c r="D1174" t="s">
        <v>4924</v>
      </c>
      <c r="E1174" t="s">
        <v>6287</v>
      </c>
      <c r="F1174" t="s">
        <v>6924</v>
      </c>
      <c r="G1174" t="s">
        <v>7462</v>
      </c>
      <c r="H1174" s="214">
        <v>134.50752</v>
      </c>
      <c r="I1174" s="425">
        <v>5.1100500000000002</v>
      </c>
      <c r="J1174" s="91">
        <v>17.32</v>
      </c>
      <c r="K1174" s="425">
        <v>1524.00828</v>
      </c>
      <c r="L1174" s="542" t="s">
        <v>621</v>
      </c>
    </row>
    <row r="1175" spans="1:12" ht="15">
      <c r="A1175">
        <v>394831</v>
      </c>
      <c r="B1175" t="str">
        <f t="shared" si="44"/>
        <v>SEVROLL maska Elegant II 6m biela mat</v>
      </c>
      <c r="C1175" s="209">
        <f t="shared" si="45"/>
        <v>13.30541</v>
      </c>
      <c r="D1175" t="s">
        <v>4925</v>
      </c>
      <c r="E1175" t="s">
        <v>6288</v>
      </c>
      <c r="F1175" t="s">
        <v>6925</v>
      </c>
      <c r="G1175" t="s">
        <v>7463</v>
      </c>
      <c r="H1175" s="214">
        <v>367.93856</v>
      </c>
      <c r="I1175" s="425">
        <v>13.30541</v>
      </c>
      <c r="J1175" s="91">
        <v>44.16</v>
      </c>
      <c r="K1175" s="425">
        <v>4168.8480799999998</v>
      </c>
      <c r="L1175" s="542" t="s">
        <v>622</v>
      </c>
    </row>
    <row r="1176" spans="1:12" ht="15">
      <c r="A1176">
        <v>394848</v>
      </c>
      <c r="B1176" t="str">
        <f t="shared" si="44"/>
        <v>SEVROLL maska Elegant II 1,7m biela mat</v>
      </c>
      <c r="C1176" s="209">
        <f t="shared" si="45"/>
        <v>3.7843300000000002</v>
      </c>
      <c r="D1176" t="s">
        <v>4926</v>
      </c>
      <c r="E1176" t="s">
        <v>6289</v>
      </c>
      <c r="F1176" t="s">
        <v>6926</v>
      </c>
      <c r="G1176" t="s">
        <v>7464</v>
      </c>
      <c r="H1176" s="214">
        <v>104.61696000000001</v>
      </c>
      <c r="I1176" s="425">
        <v>3.7843300000000002</v>
      </c>
      <c r="J1176" s="91">
        <v>12.51</v>
      </c>
      <c r="K1176" s="425">
        <v>1185.33977</v>
      </c>
      <c r="L1176" s="542" t="s">
        <v>621</v>
      </c>
    </row>
    <row r="1177" spans="1:12" ht="15">
      <c r="A1177">
        <v>395015</v>
      </c>
      <c r="B1177" t="str">
        <f t="shared" si="44"/>
        <v/>
      </c>
      <c r="C1177" s="209" t="e">
        <f t="shared" si="45"/>
        <v>#N/A</v>
      </c>
      <c r="D1177" t="s">
        <v>4927</v>
      </c>
      <c r="E1177" t="s">
        <v>6290</v>
      </c>
      <c r="F1177" t="s">
        <v>84</v>
      </c>
      <c r="G1177" t="s">
        <v>84</v>
      </c>
      <c r="H1177" s="214">
        <v>0</v>
      </c>
      <c r="I1177" s="425" t="e">
        <v>#N/A</v>
      </c>
      <c r="J1177" s="91">
        <v>0</v>
      </c>
      <c r="K1177" s="425">
        <v>0</v>
      </c>
      <c r="L1177" s="542" t="s">
        <v>622</v>
      </c>
    </row>
    <row r="1178" spans="1:12" ht="15">
      <c r="A1178">
        <v>395025</v>
      </c>
      <c r="B1178" t="str">
        <f t="shared" si="44"/>
        <v>SEVROLL Eden hornej vedenie 2,35 m strieborná</v>
      </c>
      <c r="C1178" s="209">
        <f t="shared" si="45"/>
        <v>17.735250000000001</v>
      </c>
      <c r="D1178" t="s">
        <v>4928</v>
      </c>
      <c r="E1178" t="s">
        <v>6291</v>
      </c>
      <c r="F1178" t="s">
        <v>6927</v>
      </c>
      <c r="G1178" t="s">
        <v>7465</v>
      </c>
      <c r="H1178" s="214">
        <v>533.76</v>
      </c>
      <c r="I1178" s="425">
        <v>17.735250000000001</v>
      </c>
      <c r="J1178" s="91">
        <v>67.738630000000001</v>
      </c>
      <c r="K1178" s="425">
        <v>6047.65193</v>
      </c>
      <c r="L1178" s="542" t="s">
        <v>623</v>
      </c>
    </row>
    <row r="1179" spans="1:12" ht="15">
      <c r="A1179">
        <v>395027</v>
      </c>
      <c r="B1179" t="str">
        <f t="shared" si="44"/>
        <v>SEVROLL Eden hornej vedenie 2,35 m strieborná</v>
      </c>
      <c r="C1179" s="209">
        <f t="shared" si="45"/>
        <v>29.503299999999999</v>
      </c>
      <c r="D1179" t="s">
        <v>4929</v>
      </c>
      <c r="E1179" t="s">
        <v>6292</v>
      </c>
      <c r="F1179" t="s">
        <v>6927</v>
      </c>
      <c r="G1179" t="s">
        <v>7465</v>
      </c>
      <c r="H1179" s="214">
        <v>792.09983999999997</v>
      </c>
      <c r="I1179" s="425">
        <v>29.503299999999999</v>
      </c>
      <c r="J1179" s="91">
        <v>123.1</v>
      </c>
      <c r="K1179" s="425">
        <v>8974.7154599999994</v>
      </c>
      <c r="L1179" s="542" t="s">
        <v>622</v>
      </c>
    </row>
    <row r="1180" spans="1:12" ht="15">
      <c r="A1180">
        <v>395029</v>
      </c>
      <c r="B1180" t="str">
        <f t="shared" si="44"/>
        <v>SEVROLL Eden hornej vedenie 2,35 m strieborná</v>
      </c>
      <c r="C1180" s="209">
        <f t="shared" si="45"/>
        <v>24.103999999999999</v>
      </c>
      <c r="D1180" t="s">
        <v>4930</v>
      </c>
      <c r="E1180" t="s">
        <v>6293</v>
      </c>
      <c r="F1180" t="s">
        <v>6927</v>
      </c>
      <c r="G1180" t="s">
        <v>7465</v>
      </c>
      <c r="H1180" s="214">
        <v>646.91711999999995</v>
      </c>
      <c r="I1180" s="425">
        <v>24.103999999999999</v>
      </c>
      <c r="J1180" s="91">
        <v>100.47</v>
      </c>
      <c r="K1180" s="425">
        <v>7329.7541499999998</v>
      </c>
      <c r="L1180" s="542" t="s">
        <v>622</v>
      </c>
    </row>
    <row r="1181" spans="1:12" ht="15">
      <c r="A1181">
        <v>395030</v>
      </c>
      <c r="B1181" t="str">
        <f t="shared" si="44"/>
        <v>SEVROLL Eden sada kovania pre dvoje dvere</v>
      </c>
      <c r="C1181" s="209">
        <f t="shared" si="45"/>
        <v>131.24628000000001</v>
      </c>
      <c r="D1181" t="s">
        <v>4931</v>
      </c>
      <c r="E1181" t="s">
        <v>6294</v>
      </c>
      <c r="F1181" t="s">
        <v>6928</v>
      </c>
      <c r="G1181" t="s">
        <v>7466</v>
      </c>
      <c r="H1181" s="214">
        <v>3522.8159999999998</v>
      </c>
      <c r="I1181" s="425">
        <v>131.24628000000001</v>
      </c>
      <c r="J1181" s="91">
        <v>572.74</v>
      </c>
      <c r="K1181" s="425">
        <v>39914.502769999999</v>
      </c>
      <c r="L1181" s="542" t="s">
        <v>622</v>
      </c>
    </row>
    <row r="1182" spans="1:12" ht="15">
      <c r="A1182">
        <v>395031</v>
      </c>
      <c r="B1182" t="str">
        <f t="shared" si="44"/>
        <v>SEVROLL Eden sada kovania pre dvoje dvere</v>
      </c>
      <c r="C1182" s="209">
        <f t="shared" si="45"/>
        <v>57.271099999999997</v>
      </c>
      <c r="D1182" t="s">
        <v>4932</v>
      </c>
      <c r="E1182" t="s">
        <v>6295</v>
      </c>
      <c r="F1182" t="s">
        <v>6928</v>
      </c>
      <c r="G1182" t="s">
        <v>7466</v>
      </c>
      <c r="H1182" s="214">
        <v>1537.2288000000001</v>
      </c>
      <c r="I1182" s="425">
        <v>57.271099999999997</v>
      </c>
      <c r="J1182" s="91">
        <v>291.77999999999997</v>
      </c>
      <c r="K1182" s="425">
        <v>17417.237570000001</v>
      </c>
      <c r="L1182" s="542" t="s">
        <v>622</v>
      </c>
    </row>
    <row r="1183" spans="1:12" ht="15">
      <c r="A1183">
        <v>395039</v>
      </c>
      <c r="B1183" t="str">
        <f t="shared" si="44"/>
        <v>SEVROLL maska Elegant II 2,35m biela mat</v>
      </c>
      <c r="C1183" s="209">
        <f t="shared" si="45"/>
        <v>5.2305700000000002</v>
      </c>
      <c r="D1183" t="s">
        <v>4933</v>
      </c>
      <c r="E1183" t="s">
        <v>6296</v>
      </c>
      <c r="F1183" t="s">
        <v>6929</v>
      </c>
      <c r="G1183" t="s">
        <v>7467</v>
      </c>
      <c r="H1183" s="214">
        <v>145.18271999999999</v>
      </c>
      <c r="I1183" s="425">
        <v>5.2305700000000002</v>
      </c>
      <c r="J1183" s="91">
        <v>17.3</v>
      </c>
      <c r="K1183" s="425">
        <v>1644.9613300000001</v>
      </c>
      <c r="L1183" s="542" t="s">
        <v>621</v>
      </c>
    </row>
    <row r="1184" spans="1:12" ht="15">
      <c r="A1184">
        <v>395041</v>
      </c>
      <c r="B1184" t="str">
        <f t="shared" si="44"/>
        <v>SEVROLL maska Elegant II 3m biela mat</v>
      </c>
      <c r="C1184" s="209">
        <f t="shared" si="45"/>
        <v>6.6527000000000003</v>
      </c>
      <c r="D1184" t="s">
        <v>4934</v>
      </c>
      <c r="E1184" t="s">
        <v>6297</v>
      </c>
      <c r="F1184" t="s">
        <v>6930</v>
      </c>
      <c r="G1184" t="s">
        <v>7468</v>
      </c>
      <c r="H1184" s="214">
        <v>184.32512</v>
      </c>
      <c r="I1184" s="425">
        <v>6.6527000000000003</v>
      </c>
      <c r="J1184" s="91">
        <v>21.545629999999999</v>
      </c>
      <c r="K1184" s="425">
        <v>2088.4558000000002</v>
      </c>
      <c r="L1184" s="542" t="s">
        <v>621</v>
      </c>
    </row>
    <row r="1185" spans="1:12" ht="15">
      <c r="A1185">
        <v>395042</v>
      </c>
      <c r="B1185" t="str">
        <f t="shared" si="44"/>
        <v>SEVROLL maska Elegant II 4,05m biela mat</v>
      </c>
      <c r="C1185" s="209">
        <f t="shared" si="45"/>
        <v>8.9907900000000005</v>
      </c>
      <c r="D1185" t="s">
        <v>4935</v>
      </c>
      <c r="E1185" t="s">
        <v>6298</v>
      </c>
      <c r="F1185" t="s">
        <v>6931</v>
      </c>
      <c r="G1185" t="s">
        <v>7469</v>
      </c>
      <c r="H1185" s="214">
        <v>249.08799999999999</v>
      </c>
      <c r="I1185" s="425">
        <v>8.9907900000000005</v>
      </c>
      <c r="J1185" s="91">
        <v>29.79</v>
      </c>
      <c r="K1185" s="425">
        <v>2822.2375699999998</v>
      </c>
      <c r="L1185" s="542" t="s">
        <v>621</v>
      </c>
    </row>
    <row r="1186" spans="1:12" ht="15">
      <c r="A1186">
        <v>395495</v>
      </c>
      <c r="B1186" t="str">
        <f t="shared" si="44"/>
        <v>SEVROLL Alfa II lišta 18mm 2,7m čierna lesk</v>
      </c>
      <c r="C1186" s="209">
        <f t="shared" si="45"/>
        <v>19.355509999999999</v>
      </c>
      <c r="D1186" t="s">
        <v>4936</v>
      </c>
      <c r="E1186" t="s">
        <v>6299</v>
      </c>
      <c r="F1186" t="s">
        <v>6932</v>
      </c>
      <c r="G1186" t="s">
        <v>7470</v>
      </c>
      <c r="H1186" s="214">
        <v>547.99360000000001</v>
      </c>
      <c r="I1186" s="425">
        <v>19.355509999999999</v>
      </c>
      <c r="J1186" s="91">
        <v>68.13</v>
      </c>
      <c r="K1186" s="425">
        <v>6208.9226399999998</v>
      </c>
      <c r="L1186" s="542" t="s">
        <v>621</v>
      </c>
    </row>
    <row r="1187" spans="1:12" ht="15">
      <c r="A1187">
        <v>395506</v>
      </c>
      <c r="B1187" t="str">
        <f t="shared" si="44"/>
        <v>SEVROLL Fox II úch.lišta 2,7m čierna lesk</v>
      </c>
      <c r="C1187" s="209">
        <f t="shared" si="45"/>
        <v>22.223890000000001</v>
      </c>
      <c r="D1187" t="s">
        <v>4937</v>
      </c>
      <c r="E1187" t="s">
        <v>6300</v>
      </c>
      <c r="F1187" t="s">
        <v>6933</v>
      </c>
      <c r="G1187" t="s">
        <v>7471</v>
      </c>
      <c r="H1187" s="214">
        <v>639.80032000000006</v>
      </c>
      <c r="I1187" s="425">
        <v>22.223890000000001</v>
      </c>
      <c r="J1187" s="91">
        <v>82.43</v>
      </c>
      <c r="K1187" s="425">
        <v>7249.1187900000004</v>
      </c>
      <c r="L1187" s="542" t="s">
        <v>621</v>
      </c>
    </row>
    <row r="1188" spans="1:12" ht="15">
      <c r="A1188">
        <v>395508</v>
      </c>
      <c r="B1188" t="str">
        <f t="shared" si="44"/>
        <v>SEVROLL spojovacia lišta H10 3m čierna lesk</v>
      </c>
      <c r="C1188" s="209">
        <f t="shared" si="45"/>
        <v>20.150939999999999</v>
      </c>
      <c r="D1188" t="s">
        <v>4938</v>
      </c>
      <c r="E1188" t="s">
        <v>6301</v>
      </c>
      <c r="F1188" t="s">
        <v>6934</v>
      </c>
      <c r="G1188" t="s">
        <v>7472</v>
      </c>
      <c r="H1188" s="214">
        <v>592.82943999999998</v>
      </c>
      <c r="I1188" s="425">
        <v>20.150939999999999</v>
      </c>
      <c r="J1188" s="91">
        <v>70.06</v>
      </c>
      <c r="K1188" s="425">
        <v>6716.9254099999998</v>
      </c>
      <c r="L1188" s="542" t="s">
        <v>621</v>
      </c>
    </row>
    <row r="1189" spans="1:12" ht="15">
      <c r="A1189">
        <v>465914</v>
      </c>
      <c r="B1189" t="str">
        <f t="shared" si="44"/>
        <v>SEVROLL 02986 Maxim II spodné vedenie 1,8m oliva</v>
      </c>
      <c r="C1189" s="209">
        <f t="shared" si="45"/>
        <v>14.34188</v>
      </c>
      <c r="D1189" t="s">
        <v>4939</v>
      </c>
      <c r="E1189" t="s">
        <v>6302</v>
      </c>
      <c r="F1189" t="s">
        <v>6935</v>
      </c>
      <c r="G1189" t="s">
        <v>7473</v>
      </c>
      <c r="H1189" s="214">
        <v>413.48608000000002</v>
      </c>
      <c r="I1189" s="425">
        <v>14.34188</v>
      </c>
      <c r="J1189" s="91">
        <v>48.86</v>
      </c>
      <c r="K1189" s="425">
        <v>4684.9143599999998</v>
      </c>
      <c r="L1189" s="542" t="s">
        <v>622</v>
      </c>
    </row>
    <row r="1190" spans="1:12" ht="15">
      <c r="A1190">
        <v>465917</v>
      </c>
      <c r="B1190" t="str">
        <f t="shared" si="44"/>
        <v>SEVROLL 02996 MAXIM II MASKA 1,8 M oliva</v>
      </c>
      <c r="C1190" s="209">
        <f t="shared" si="45"/>
        <v>6.4116600000000004</v>
      </c>
      <c r="D1190" t="s">
        <v>4940</v>
      </c>
      <c r="E1190" t="s">
        <v>6303</v>
      </c>
      <c r="F1190" t="s">
        <v>6936</v>
      </c>
      <c r="G1190" t="s">
        <v>7474</v>
      </c>
      <c r="H1190" s="214">
        <v>184.32512</v>
      </c>
      <c r="I1190" s="425">
        <v>6.4116600000000004</v>
      </c>
      <c r="J1190" s="91">
        <v>21.78</v>
      </c>
      <c r="K1190" s="425">
        <v>2088.4558000000002</v>
      </c>
      <c r="L1190" s="542" t="s">
        <v>622</v>
      </c>
    </row>
    <row r="1191" spans="1:12" ht="15">
      <c r="A1191">
        <v>308472</v>
      </c>
      <c r="B1191" t="e">
        <f t="shared" si="44"/>
        <v>#N/A</v>
      </c>
      <c r="C1191" s="209" t="e">
        <f t="shared" si="45"/>
        <v>#N/A</v>
      </c>
      <c r="D1191" t="s">
        <v>4941</v>
      </c>
      <c r="E1191" t="e">
        <v>#N/A</v>
      </c>
      <c r="F1191" t="e">
        <v>#N/A</v>
      </c>
      <c r="G1191" t="e">
        <v>#N/A</v>
      </c>
      <c r="H1191" s="214">
        <v>14624.788979999999</v>
      </c>
      <c r="I1191" s="425" t="e">
        <v>#N/A</v>
      </c>
      <c r="J1191" s="91">
        <v>1708.09024</v>
      </c>
      <c r="K1191" s="425">
        <v>0</v>
      </c>
      <c r="L1191" s="542" t="s">
        <v>622</v>
      </c>
    </row>
    <row r="1192" spans="1:12" ht="15">
      <c r="A1192">
        <v>308522</v>
      </c>
      <c r="B1192" t="str">
        <f t="shared" si="44"/>
        <v>SEVROLL Faworyt II úchytová lišta 2,7m</v>
      </c>
      <c r="C1192" s="209" t="e">
        <f t="shared" si="45"/>
        <v>#N/A</v>
      </c>
      <c r="D1192" t="s">
        <v>4942</v>
      </c>
      <c r="E1192" t="s">
        <v>6304</v>
      </c>
      <c r="F1192" t="s">
        <v>6937</v>
      </c>
      <c r="G1192" t="s">
        <v>7475</v>
      </c>
      <c r="H1192" s="214">
        <v>0</v>
      </c>
      <c r="I1192" s="425" t="e">
        <v>#N/A</v>
      </c>
      <c r="J1192" s="91">
        <v>0</v>
      </c>
      <c r="K1192" s="425">
        <v>0</v>
      </c>
      <c r="L1192" s="542" t="s">
        <v>622</v>
      </c>
    </row>
    <row r="1193" spans="1:12" ht="15">
      <c r="A1193">
        <v>308524</v>
      </c>
      <c r="B1193" t="str">
        <f t="shared" si="44"/>
        <v>SEVROLL okrasná lišta S20 3m RAL9005 mat</v>
      </c>
      <c r="C1193" s="209" t="e">
        <f t="shared" si="45"/>
        <v>#N/A</v>
      </c>
      <c r="D1193" t="s">
        <v>4943</v>
      </c>
      <c r="E1193" t="s">
        <v>6305</v>
      </c>
      <c r="F1193" t="s">
        <v>4943</v>
      </c>
      <c r="G1193" t="s">
        <v>7476</v>
      </c>
      <c r="H1193" s="214">
        <v>0</v>
      </c>
      <c r="I1193" s="425" t="e">
        <v>#N/A</v>
      </c>
      <c r="J1193" s="91">
        <v>0</v>
      </c>
      <c r="K1193" s="425">
        <v>0</v>
      </c>
      <c r="L1193" s="542" t="s">
        <v>622</v>
      </c>
    </row>
    <row r="1194" spans="1:12" ht="15">
      <c r="A1194">
        <v>308626</v>
      </c>
      <c r="B1194" t="str">
        <f t="shared" si="44"/>
        <v>SEVROLL Romeo IIúchytová lišta 2,7m RAL9003</v>
      </c>
      <c r="C1194" s="209" t="e">
        <f t="shared" si="45"/>
        <v>#N/A</v>
      </c>
      <c r="D1194" t="s">
        <v>4944</v>
      </c>
      <c r="E1194" t="s">
        <v>6306</v>
      </c>
      <c r="F1194" t="s">
        <v>6938</v>
      </c>
      <c r="G1194" t="s">
        <v>7477</v>
      </c>
      <c r="H1194" s="214">
        <v>0</v>
      </c>
      <c r="I1194" s="425" t="e">
        <v>#N/A</v>
      </c>
      <c r="J1194" s="91">
        <v>0</v>
      </c>
      <c r="K1194" s="425">
        <v>0</v>
      </c>
      <c r="L1194" s="542" t="s">
        <v>622</v>
      </c>
    </row>
    <row r="1195" spans="1:12" ht="15">
      <c r="A1195">
        <v>308681</v>
      </c>
      <c r="B1195" t="str">
        <f t="shared" si="44"/>
        <v>SEVROLL sada Fold pro 2 krídla ľavá</v>
      </c>
      <c r="C1195" s="209">
        <f t="shared" si="45"/>
        <v>61.609819999999999</v>
      </c>
      <c r="D1195" t="s">
        <v>4945</v>
      </c>
      <c r="E1195" t="s">
        <v>6307</v>
      </c>
      <c r="F1195" t="s">
        <v>6939</v>
      </c>
      <c r="G1195" t="s">
        <v>7478</v>
      </c>
      <c r="H1195" s="214">
        <v>1788.79656</v>
      </c>
      <c r="I1195" s="425">
        <v>61.609819999999999</v>
      </c>
      <c r="J1195" s="91">
        <v>206</v>
      </c>
      <c r="K1195" s="425">
        <v>20110.458559999999</v>
      </c>
      <c r="L1195" s="542" t="s">
        <v>622</v>
      </c>
    </row>
    <row r="1196" spans="1:12" ht="15">
      <c r="A1196">
        <v>308682</v>
      </c>
      <c r="B1196" t="str">
        <f t="shared" ref="B1196:B1241" si="46">IF($A$2=1,D1196,IF($A$2=2,F1196,IF($A$2=3,G1196,IF($A$2=4,E1196,"zadat jazyk"))))</f>
        <v>SEVROLL sada Fold pro 2 krídla pravá</v>
      </c>
      <c r="C1196" s="209">
        <f t="shared" ref="C1196:C1241" si="47">IF($A$2=1,H1196,IF($A$2=2,I1196,IF($A$2=3,J1196,IF($A$2=4,K1196,"zadat jazyk"))))</f>
        <v>61.609819999999999</v>
      </c>
      <c r="D1196" t="s">
        <v>4946</v>
      </c>
      <c r="E1196" t="s">
        <v>6308</v>
      </c>
      <c r="F1196" t="s">
        <v>6940</v>
      </c>
      <c r="G1196" t="s">
        <v>7479</v>
      </c>
      <c r="H1196" s="214">
        <v>1788.79656</v>
      </c>
      <c r="I1196" s="425">
        <v>61.609819999999999</v>
      </c>
      <c r="J1196" s="91">
        <v>206</v>
      </c>
      <c r="K1196" s="425">
        <v>20110.458559999999</v>
      </c>
      <c r="L1196" s="542" t="s">
        <v>622</v>
      </c>
    </row>
    <row r="1197" spans="1:12" ht="15">
      <c r="A1197">
        <v>353413</v>
      </c>
      <c r="B1197" t="str">
        <f t="shared" si="46"/>
        <v/>
      </c>
      <c r="C1197" s="209" t="e">
        <f t="shared" si="47"/>
        <v>#N/A</v>
      </c>
      <c r="D1197" t="s">
        <v>4947</v>
      </c>
      <c r="E1197" t="s">
        <v>6309</v>
      </c>
      <c r="F1197" t="s">
        <v>84</v>
      </c>
      <c r="G1197" t="s">
        <v>7480</v>
      </c>
      <c r="H1197" s="214">
        <v>0</v>
      </c>
      <c r="I1197" s="425" t="e">
        <v>#N/A</v>
      </c>
      <c r="J1197" s="91">
        <v>0</v>
      </c>
      <c r="K1197" s="425">
        <v>0</v>
      </c>
      <c r="L1197" s="542" t="s">
        <v>622</v>
      </c>
    </row>
    <row r="1198" spans="1:12" ht="15">
      <c r="A1198">
        <v>354299</v>
      </c>
      <c r="B1198" t="str">
        <f t="shared" si="46"/>
        <v>SEVROLL Single horné vedenie 3,6m RAL9003 mat</v>
      </c>
      <c r="C1198" s="209" t="e">
        <f t="shared" si="47"/>
        <v>#N/A</v>
      </c>
      <c r="D1198" t="s">
        <v>4948</v>
      </c>
      <c r="E1198" t="s">
        <v>6310</v>
      </c>
      <c r="F1198" t="s">
        <v>6941</v>
      </c>
      <c r="G1198" t="s">
        <v>7481</v>
      </c>
      <c r="H1198" s="214">
        <v>0</v>
      </c>
      <c r="I1198" s="425" t="e">
        <v>#N/A</v>
      </c>
      <c r="J1198" s="91">
        <v>0</v>
      </c>
      <c r="K1198" s="425">
        <v>0</v>
      </c>
      <c r="L1198" s="542" t="s">
        <v>622</v>
      </c>
    </row>
    <row r="1199" spans="1:12" ht="15">
      <c r="A1199">
        <v>379934</v>
      </c>
      <c r="B1199" t="str">
        <f t="shared" si="46"/>
        <v/>
      </c>
      <c r="C1199" s="209">
        <f t="shared" si="47"/>
        <v>6.6527000000000003</v>
      </c>
      <c r="D1199" t="s">
        <v>4934</v>
      </c>
      <c r="E1199" t="s">
        <v>6311</v>
      </c>
      <c r="F1199" t="s">
        <v>84</v>
      </c>
      <c r="G1199" t="s">
        <v>7468</v>
      </c>
      <c r="H1199" s="214">
        <v>184.32512</v>
      </c>
      <c r="I1199" s="425">
        <v>6.6527000000000003</v>
      </c>
      <c r="J1199" s="91">
        <v>22.08</v>
      </c>
      <c r="K1199" s="425">
        <v>2088.4558000000002</v>
      </c>
      <c r="L1199" s="542" t="s">
        <v>622</v>
      </c>
    </row>
    <row r="1200" spans="1:12" ht="15">
      <c r="A1200">
        <v>379955</v>
      </c>
      <c r="B1200" t="e">
        <f t="shared" si="46"/>
        <v>#N/A</v>
      </c>
      <c r="C1200" s="209" t="e">
        <f t="shared" si="47"/>
        <v>#N/A</v>
      </c>
      <c r="D1200" t="s">
        <v>4949</v>
      </c>
      <c r="E1200" t="e">
        <v>#N/A</v>
      </c>
      <c r="F1200" t="e">
        <v>#N/A</v>
      </c>
      <c r="G1200" t="e">
        <v>#N/A</v>
      </c>
      <c r="H1200" s="214">
        <v>376.16732999999999</v>
      </c>
      <c r="I1200" s="425" t="e">
        <v>#N/A</v>
      </c>
      <c r="J1200" s="91">
        <v>70.249859999999998</v>
      </c>
      <c r="K1200" s="425">
        <v>5493.3029800000004</v>
      </c>
      <c r="L1200" s="542" t="s">
        <v>622</v>
      </c>
    </row>
    <row r="1201" spans="1:12" ht="15">
      <c r="A1201">
        <v>379961</v>
      </c>
      <c r="B1201" t="e">
        <f t="shared" si="46"/>
        <v>#N/A</v>
      </c>
      <c r="C1201" s="209" t="e">
        <f t="shared" si="47"/>
        <v>#N/A</v>
      </c>
      <c r="D1201" t="s">
        <v>4950</v>
      </c>
      <c r="E1201" t="e">
        <v>#N/A</v>
      </c>
      <c r="F1201" t="e">
        <v>#N/A</v>
      </c>
      <c r="G1201" t="e">
        <v>#N/A</v>
      </c>
      <c r="H1201" s="214">
        <v>214.54483999999999</v>
      </c>
      <c r="I1201" s="425" t="e">
        <v>#N/A</v>
      </c>
      <c r="J1201" s="91">
        <v>40.068680000000001</v>
      </c>
      <c r="K1201" s="425">
        <v>3133.2359900000001</v>
      </c>
      <c r="L1201" s="542" t="s">
        <v>622</v>
      </c>
    </row>
    <row r="1202" spans="1:12" ht="15">
      <c r="A1202">
        <v>274051</v>
      </c>
      <c r="B1202" t="e">
        <f t="shared" si="46"/>
        <v>#N/A</v>
      </c>
      <c r="C1202" s="209" t="e">
        <f t="shared" si="47"/>
        <v>#N/A</v>
      </c>
      <c r="D1202" t="s">
        <v>4951</v>
      </c>
      <c r="E1202" t="e">
        <v>#N/A</v>
      </c>
      <c r="F1202" t="e">
        <v>#N/A</v>
      </c>
      <c r="G1202" t="e">
        <v>#N/A</v>
      </c>
      <c r="H1202" s="214">
        <v>436.625</v>
      </c>
      <c r="I1202" s="425" t="e">
        <v>#N/A</v>
      </c>
      <c r="J1202" s="91">
        <v>98.444710000000001</v>
      </c>
      <c r="K1202" s="425">
        <v>8391.3778199999997</v>
      </c>
      <c r="L1202" s="542" t="s">
        <v>622</v>
      </c>
    </row>
    <row r="1203" spans="1:12" ht="15">
      <c r="A1203">
        <v>274077</v>
      </c>
      <c r="B1203" t="e">
        <f t="shared" si="46"/>
        <v>#N/A</v>
      </c>
      <c r="C1203" s="209" t="e">
        <f t="shared" si="47"/>
        <v>#N/A</v>
      </c>
      <c r="D1203" t="s">
        <v>4952</v>
      </c>
      <c r="E1203" t="e">
        <v>#N/A</v>
      </c>
      <c r="F1203" t="e">
        <v>#N/A</v>
      </c>
      <c r="G1203" t="e">
        <v>#N/A</v>
      </c>
      <c r="H1203" s="214">
        <v>208.25</v>
      </c>
      <c r="I1203" s="425" t="e">
        <v>#N/A</v>
      </c>
      <c r="J1203" s="91">
        <v>46.953600000000002</v>
      </c>
      <c r="K1203" s="425">
        <v>4002.3003699999999</v>
      </c>
      <c r="L1203" s="542" t="s">
        <v>622</v>
      </c>
    </row>
    <row r="1204" spans="1:12" ht="15">
      <c r="A1204">
        <v>274078</v>
      </c>
      <c r="B1204" t="e">
        <f t="shared" si="46"/>
        <v>#N/A</v>
      </c>
      <c r="C1204" s="209" t="e">
        <f t="shared" si="47"/>
        <v>#N/A</v>
      </c>
      <c r="D1204" t="s">
        <v>4953</v>
      </c>
      <c r="E1204" t="e">
        <v>#N/A</v>
      </c>
      <c r="F1204" t="e">
        <v>#N/A</v>
      </c>
      <c r="G1204" t="e">
        <v>#N/A</v>
      </c>
      <c r="H1204" s="214">
        <v>434.7</v>
      </c>
      <c r="I1204" s="425" t="e">
        <v>#N/A</v>
      </c>
      <c r="J1204" s="91">
        <v>98.010679999999994</v>
      </c>
      <c r="K1204" s="425">
        <v>8354.3815500000001</v>
      </c>
      <c r="L1204" s="542" t="s">
        <v>622</v>
      </c>
    </row>
    <row r="1205" spans="1:12" ht="15">
      <c r="A1205">
        <v>274079</v>
      </c>
      <c r="B1205" t="e">
        <f t="shared" si="46"/>
        <v>#N/A</v>
      </c>
      <c r="C1205" s="209" t="e">
        <f t="shared" si="47"/>
        <v>#N/A</v>
      </c>
      <c r="D1205" t="s">
        <v>4954</v>
      </c>
      <c r="E1205" t="e">
        <v>#N/A</v>
      </c>
      <c r="F1205" t="e">
        <v>#N/A</v>
      </c>
      <c r="G1205" t="e">
        <v>#N/A</v>
      </c>
      <c r="H1205" s="214">
        <v>799.96875</v>
      </c>
      <c r="I1205" s="425" t="e">
        <v>#N/A</v>
      </c>
      <c r="J1205" s="91">
        <v>180.36687000000001</v>
      </c>
      <c r="K1205" s="425">
        <v>15374.382809999999</v>
      </c>
      <c r="L1205" s="542" t="s">
        <v>622</v>
      </c>
    </row>
    <row r="1206" spans="1:12" ht="15">
      <c r="A1206">
        <v>274270</v>
      </c>
      <c r="B1206" t="e">
        <f t="shared" si="46"/>
        <v>#N/A</v>
      </c>
      <c r="C1206" s="209" t="e">
        <f t="shared" si="47"/>
        <v>#N/A</v>
      </c>
      <c r="D1206" t="s">
        <v>4955</v>
      </c>
      <c r="E1206" t="e">
        <v>#N/A</v>
      </c>
      <c r="F1206" t="e">
        <v>#N/A</v>
      </c>
      <c r="G1206" t="e">
        <v>#N/A</v>
      </c>
      <c r="H1206" s="214">
        <v>2454.98117</v>
      </c>
      <c r="I1206" s="425" t="e">
        <v>#N/A</v>
      </c>
      <c r="J1206" s="91">
        <v>389.83483999999999</v>
      </c>
      <c r="K1206" s="425">
        <v>32261.937140000002</v>
      </c>
      <c r="L1206" s="542" t="s">
        <v>622</v>
      </c>
    </row>
    <row r="1207" spans="1:12" ht="15">
      <c r="A1207">
        <v>274271</v>
      </c>
      <c r="B1207" t="e">
        <f t="shared" si="46"/>
        <v>#N/A</v>
      </c>
      <c r="C1207" s="209" t="e">
        <f t="shared" si="47"/>
        <v>#N/A</v>
      </c>
      <c r="D1207" t="s">
        <v>4956</v>
      </c>
      <c r="E1207" t="e">
        <v>#N/A</v>
      </c>
      <c r="F1207" t="e">
        <v>#N/A</v>
      </c>
      <c r="G1207" t="e">
        <v>#N/A</v>
      </c>
      <c r="H1207" s="214">
        <v>322.69252999999998</v>
      </c>
      <c r="I1207" s="425" t="e">
        <v>#N/A</v>
      </c>
      <c r="J1207" s="91">
        <v>51.24145</v>
      </c>
      <c r="K1207" s="425">
        <v>4240.6378999999997</v>
      </c>
      <c r="L1207" s="542" t="s">
        <v>622</v>
      </c>
    </row>
    <row r="1208" spans="1:12" ht="15">
      <c r="A1208">
        <v>274273</v>
      </c>
      <c r="B1208" t="e">
        <f t="shared" si="46"/>
        <v>#N/A</v>
      </c>
      <c r="C1208" s="209" t="e">
        <f t="shared" si="47"/>
        <v>#N/A</v>
      </c>
      <c r="D1208" t="s">
        <v>4957</v>
      </c>
      <c r="E1208" t="e">
        <v>#N/A</v>
      </c>
      <c r="F1208" t="e">
        <v>#N/A</v>
      </c>
      <c r="G1208" t="e">
        <v>#N/A</v>
      </c>
      <c r="H1208" s="214">
        <v>64.936070000000001</v>
      </c>
      <c r="I1208" s="425" t="e">
        <v>#N/A</v>
      </c>
      <c r="J1208" s="91">
        <v>10.31142</v>
      </c>
      <c r="K1208" s="425">
        <v>853.35212000000001</v>
      </c>
      <c r="L1208" s="542" t="s">
        <v>622</v>
      </c>
    </row>
    <row r="1209" spans="1:12" ht="15">
      <c r="A1209">
        <v>274274</v>
      </c>
      <c r="B1209" t="e">
        <f t="shared" si="46"/>
        <v>#N/A</v>
      </c>
      <c r="C1209" s="209" t="e">
        <f t="shared" si="47"/>
        <v>#N/A</v>
      </c>
      <c r="D1209" t="s">
        <v>4958</v>
      </c>
      <c r="E1209" t="e">
        <v>#N/A</v>
      </c>
      <c r="F1209" t="e">
        <v>#N/A</v>
      </c>
      <c r="G1209" t="e">
        <v>#N/A</v>
      </c>
      <c r="H1209" s="214">
        <v>92.103210000000004</v>
      </c>
      <c r="I1209" s="425" t="e">
        <v>#N/A</v>
      </c>
      <c r="J1209" s="91">
        <v>14.625389999999999</v>
      </c>
      <c r="K1209" s="425">
        <v>1210.3669</v>
      </c>
      <c r="L1209" s="542" t="s">
        <v>622</v>
      </c>
    </row>
    <row r="1210" spans="1:12" ht="15">
      <c r="A1210">
        <v>274276</v>
      </c>
      <c r="B1210" t="e">
        <f t="shared" si="46"/>
        <v>#N/A</v>
      </c>
      <c r="C1210" s="209" t="e">
        <f t="shared" si="47"/>
        <v>#N/A</v>
      </c>
      <c r="D1210" t="s">
        <v>4959</v>
      </c>
      <c r="E1210" t="e">
        <v>#N/A</v>
      </c>
      <c r="F1210" t="e">
        <v>#N/A</v>
      </c>
      <c r="G1210" t="e">
        <v>#N/A</v>
      </c>
      <c r="H1210" s="214">
        <v>49.695979999999999</v>
      </c>
      <c r="I1210" s="425" t="e">
        <v>#N/A</v>
      </c>
      <c r="J1210" s="91">
        <v>7.8913900000000003</v>
      </c>
      <c r="K1210" s="425">
        <v>653.07564000000002</v>
      </c>
      <c r="L1210" s="542" t="s">
        <v>622</v>
      </c>
    </row>
    <row r="1211" spans="1:12" ht="15">
      <c r="A1211">
        <v>274345</v>
      </c>
      <c r="B1211" t="str">
        <f t="shared" si="46"/>
        <v>SEVROLL sada kovania ZSE-18 PLUS PRINCE</v>
      </c>
      <c r="C1211" s="209">
        <f t="shared" si="47"/>
        <v>88.847340000000003</v>
      </c>
      <c r="D1211" t="s">
        <v>4960</v>
      </c>
      <c r="E1211" t="s">
        <v>6312</v>
      </c>
      <c r="F1211" t="s">
        <v>6942</v>
      </c>
      <c r="G1211" t="s">
        <v>7482</v>
      </c>
      <c r="H1211" s="214">
        <v>2579.1950400000001</v>
      </c>
      <c r="I1211" s="425">
        <v>88.847340000000003</v>
      </c>
      <c r="J1211" s="91">
        <v>297.02999999999997</v>
      </c>
      <c r="K1211" s="425">
        <v>28996.475129999999</v>
      </c>
      <c r="L1211" s="542" t="s">
        <v>622</v>
      </c>
    </row>
    <row r="1212" spans="1:12" ht="15">
      <c r="A1212">
        <v>452601</v>
      </c>
      <c r="B1212" t="str">
        <f t="shared" si="46"/>
        <v>SEVROLL Faworyt II úchytová liš.2,7m čierna mat</v>
      </c>
      <c r="C1212" s="209">
        <f t="shared" si="47"/>
        <v>18.27083</v>
      </c>
      <c r="D1212" t="s">
        <v>4961</v>
      </c>
      <c r="E1212" t="s">
        <v>6313</v>
      </c>
      <c r="F1212" t="s">
        <v>6943</v>
      </c>
      <c r="G1212" t="s">
        <v>7483</v>
      </c>
      <c r="H1212" s="214">
        <v>526.64319999999998</v>
      </c>
      <c r="I1212" s="425">
        <v>18.27083</v>
      </c>
      <c r="J1212" s="91">
        <v>62.24</v>
      </c>
      <c r="K1212" s="425">
        <v>5967.0165699999998</v>
      </c>
      <c r="L1212" s="542" t="s">
        <v>621</v>
      </c>
    </row>
    <row r="1213" spans="1:12" ht="15">
      <c r="A1213">
        <v>452604</v>
      </c>
      <c r="B1213" t="str">
        <f t="shared" si="46"/>
        <v>SEVROLL spojovacia lišta H30 3m čierna mat</v>
      </c>
      <c r="C1213" s="209">
        <f t="shared" si="47"/>
        <v>30.563870000000001</v>
      </c>
      <c r="D1213" t="s">
        <v>4962</v>
      </c>
      <c r="E1213" t="s">
        <v>6314</v>
      </c>
      <c r="F1213" t="s">
        <v>6944</v>
      </c>
      <c r="G1213" t="s">
        <v>7484</v>
      </c>
      <c r="H1213" s="214">
        <v>894.58176000000003</v>
      </c>
      <c r="I1213" s="425">
        <v>30.563870000000001</v>
      </c>
      <c r="J1213" s="91">
        <v>105.72</v>
      </c>
      <c r="K1213" s="425">
        <v>10135.86464</v>
      </c>
      <c r="L1213" s="542" t="s">
        <v>622</v>
      </c>
    </row>
    <row r="1214" spans="1:12" ht="15">
      <c r="A1214">
        <v>452606</v>
      </c>
      <c r="B1214" t="str">
        <f t="shared" si="46"/>
        <v/>
      </c>
      <c r="C1214" s="209">
        <f t="shared" si="47"/>
        <v>4.8690100000000003</v>
      </c>
      <c r="D1214" t="s">
        <v>4963</v>
      </c>
      <c r="E1214" t="s">
        <v>6315</v>
      </c>
      <c r="F1214" t="s">
        <v>84</v>
      </c>
      <c r="G1214" t="s">
        <v>7485</v>
      </c>
      <c r="H1214" s="214">
        <v>145.89439999999999</v>
      </c>
      <c r="I1214" s="425">
        <v>4.8690100000000003</v>
      </c>
      <c r="J1214" s="91">
        <v>17.239999999999998</v>
      </c>
      <c r="K1214" s="425">
        <v>1653.02487</v>
      </c>
      <c r="L1214" s="542" t="s">
        <v>622</v>
      </c>
    </row>
    <row r="1215" spans="1:12" ht="15">
      <c r="A1215">
        <v>452608</v>
      </c>
      <c r="B1215" t="str">
        <f t="shared" si="46"/>
        <v>SEVROLL horná vod.lišta 2,35m čierna mat</v>
      </c>
      <c r="C1215" s="209">
        <f t="shared" si="47"/>
        <v>17.13794</v>
      </c>
      <c r="D1215" t="s">
        <v>4964</v>
      </c>
      <c r="E1215" t="s">
        <v>6316</v>
      </c>
      <c r="F1215" t="s">
        <v>6945</v>
      </c>
      <c r="G1215" t="s">
        <v>7486</v>
      </c>
      <c r="H1215" s="214">
        <v>459.74527999999998</v>
      </c>
      <c r="I1215" s="425">
        <v>17.13794</v>
      </c>
      <c r="J1215" s="91">
        <v>85.01</v>
      </c>
      <c r="K1215" s="425">
        <v>5209.0442000000003</v>
      </c>
      <c r="L1215" s="542" t="s">
        <v>622</v>
      </c>
    </row>
    <row r="1216" spans="1:12" ht="15">
      <c r="A1216">
        <v>452734</v>
      </c>
      <c r="B1216" t="str">
        <f t="shared" si="46"/>
        <v>SEVROLL horná vodiaca lišta 3m čierna mat</v>
      </c>
      <c r="C1216" s="209">
        <f t="shared" si="47"/>
        <v>21.83822</v>
      </c>
      <c r="D1216" t="s">
        <v>4965</v>
      </c>
      <c r="E1216" t="s">
        <v>6317</v>
      </c>
      <c r="F1216" t="s">
        <v>6946</v>
      </c>
      <c r="G1216" t="s">
        <v>7487</v>
      </c>
      <c r="H1216" s="214">
        <v>586.42431999999997</v>
      </c>
      <c r="I1216" s="425">
        <v>21.83822</v>
      </c>
      <c r="J1216" s="91">
        <v>108.49</v>
      </c>
      <c r="K1216" s="425">
        <v>6644.3535899999997</v>
      </c>
      <c r="L1216" s="542" t="s">
        <v>622</v>
      </c>
    </row>
    <row r="1217" spans="1:12" ht="15">
      <c r="A1217">
        <v>452735</v>
      </c>
      <c r="B1217" t="str">
        <f t="shared" si="46"/>
        <v>SEVROLL Pax horná vodiaca lišta 3m čierna mat</v>
      </c>
      <c r="C1217" s="209">
        <f t="shared" si="47"/>
        <v>33.57687</v>
      </c>
      <c r="D1217" t="s">
        <v>4966</v>
      </c>
      <c r="E1217" t="s">
        <v>6318</v>
      </c>
      <c r="F1217" t="s">
        <v>6947</v>
      </c>
      <c r="G1217" t="s">
        <v>7488</v>
      </c>
      <c r="H1217" s="214">
        <v>984.25343999999996</v>
      </c>
      <c r="I1217" s="425">
        <v>33.57687</v>
      </c>
      <c r="J1217" s="91">
        <v>116.31</v>
      </c>
      <c r="K1217" s="425">
        <v>11151.87018</v>
      </c>
      <c r="L1217" s="542" t="s">
        <v>622</v>
      </c>
    </row>
    <row r="1218" spans="1:12" ht="15">
      <c r="A1218">
        <v>452736</v>
      </c>
      <c r="B1218" t="str">
        <f t="shared" si="46"/>
        <v>SEVROLL Gemini horné vedenie 6m čierna mat</v>
      </c>
      <c r="C1218" s="209">
        <f t="shared" si="47"/>
        <v>75.276790000000005</v>
      </c>
      <c r="D1218" t="s">
        <v>4967</v>
      </c>
      <c r="E1218" t="s">
        <v>6319</v>
      </c>
      <c r="F1218" t="s">
        <v>6948</v>
      </c>
      <c r="G1218" t="s">
        <v>7489</v>
      </c>
      <c r="H1218" s="214">
        <v>1932.9228800000001</v>
      </c>
      <c r="I1218" s="425">
        <v>75.276790000000005</v>
      </c>
      <c r="J1218" s="91">
        <v>270.14</v>
      </c>
      <c r="K1218" s="425">
        <v>21900.563539999999</v>
      </c>
      <c r="L1218" s="542" t="s">
        <v>622</v>
      </c>
    </row>
    <row r="1219" spans="1:12" ht="15">
      <c r="A1219">
        <v>452743</v>
      </c>
      <c r="B1219" t="str">
        <f t="shared" si="46"/>
        <v>SEVROLL Elegant spodné vedenie 6m čierna mat</v>
      </c>
      <c r="C1219" s="209">
        <f t="shared" si="47"/>
        <v>41.362459999999999</v>
      </c>
      <c r="D1219" t="s">
        <v>4968</v>
      </c>
      <c r="E1219" t="s">
        <v>6320</v>
      </c>
      <c r="F1219" t="s">
        <v>6949</v>
      </c>
      <c r="G1219" t="s">
        <v>7490</v>
      </c>
      <c r="H1219" s="214">
        <v>1110.2208000000001</v>
      </c>
      <c r="I1219" s="425">
        <v>41.362459999999999</v>
      </c>
      <c r="J1219" s="91">
        <v>147.18</v>
      </c>
      <c r="K1219" s="425">
        <v>12579.116029999999</v>
      </c>
      <c r="L1219" s="542" t="s">
        <v>622</v>
      </c>
    </row>
    <row r="1220" spans="1:12" ht="15">
      <c r="A1220">
        <v>452751</v>
      </c>
      <c r="B1220" t="str">
        <f t="shared" si="46"/>
        <v>SEVROLL maska Elegant II 1,7m čierna mat</v>
      </c>
      <c r="C1220" s="209">
        <f t="shared" si="47"/>
        <v>3.7843300000000002</v>
      </c>
      <c r="D1220" t="s">
        <v>4969</v>
      </c>
      <c r="E1220" t="s">
        <v>6321</v>
      </c>
      <c r="F1220" t="s">
        <v>6950</v>
      </c>
      <c r="G1220" t="s">
        <v>7491</v>
      </c>
      <c r="H1220" s="214">
        <v>104.61696000000001</v>
      </c>
      <c r="I1220" s="425">
        <v>3.7843300000000002</v>
      </c>
      <c r="J1220" s="91">
        <v>12.51</v>
      </c>
      <c r="K1220" s="425">
        <v>1185.33977</v>
      </c>
      <c r="L1220" s="542" t="s">
        <v>621</v>
      </c>
    </row>
    <row r="1221" spans="1:12" ht="15">
      <c r="A1221">
        <v>452757</v>
      </c>
      <c r="B1221" t="str">
        <f t="shared" si="46"/>
        <v>SEVROLL maska Elegant II 6m čierna mat</v>
      </c>
      <c r="C1221" s="209">
        <f t="shared" si="47"/>
        <v>13.30541</v>
      </c>
      <c r="D1221" t="s">
        <v>4970</v>
      </c>
      <c r="E1221" t="s">
        <v>6322</v>
      </c>
      <c r="F1221" t="s">
        <v>6951</v>
      </c>
      <c r="G1221" t="s">
        <v>7492</v>
      </c>
      <c r="H1221" s="214">
        <v>367.93856</v>
      </c>
      <c r="I1221" s="425">
        <v>13.30541</v>
      </c>
      <c r="J1221" s="91">
        <v>44.16</v>
      </c>
      <c r="K1221" s="425">
        <v>4168.8480799999998</v>
      </c>
      <c r="L1221" s="542" t="s">
        <v>622</v>
      </c>
    </row>
    <row r="1222" spans="1:12" ht="15">
      <c r="A1222">
        <v>452761</v>
      </c>
      <c r="B1222" t="str">
        <f t="shared" si="46"/>
        <v>SEVROLL spojovacia lišta H10 3m čierna mat</v>
      </c>
      <c r="C1222" s="209">
        <f t="shared" si="47"/>
        <v>20.150939999999999</v>
      </c>
      <c r="D1222" t="s">
        <v>4971</v>
      </c>
      <c r="E1222" t="s">
        <v>6323</v>
      </c>
      <c r="F1222" t="s">
        <v>6952</v>
      </c>
      <c r="G1222" t="s">
        <v>7493</v>
      </c>
      <c r="H1222" s="214">
        <v>592.82943999999998</v>
      </c>
      <c r="I1222" s="425">
        <v>20.150939999999999</v>
      </c>
      <c r="J1222" s="91">
        <v>70.06</v>
      </c>
      <c r="K1222" s="425">
        <v>6716.9254099999998</v>
      </c>
      <c r="L1222" s="542" t="s">
        <v>622</v>
      </c>
    </row>
    <row r="1223" spans="1:12" ht="15">
      <c r="A1223">
        <v>293010</v>
      </c>
      <c r="B1223" t="e">
        <f t="shared" si="46"/>
        <v>#N/A</v>
      </c>
      <c r="C1223" s="209" t="e">
        <f t="shared" si="47"/>
        <v>#N/A</v>
      </c>
      <c r="D1223" t="s">
        <v>4972</v>
      </c>
      <c r="E1223" t="e">
        <v>#N/A</v>
      </c>
      <c r="F1223" t="e">
        <v>#N/A</v>
      </c>
      <c r="G1223" t="e">
        <v>#N/A</v>
      </c>
      <c r="H1223" s="214">
        <v>1371.9860000000001</v>
      </c>
      <c r="I1223" s="425" t="e">
        <v>#N/A</v>
      </c>
      <c r="J1223" s="91">
        <v>306.85597999999999</v>
      </c>
      <c r="K1223" s="425">
        <v>23784.623629999998</v>
      </c>
      <c r="L1223" s="542" t="s">
        <v>622</v>
      </c>
    </row>
    <row r="1224" spans="1:12" ht="15">
      <c r="A1224">
        <v>293015</v>
      </c>
      <c r="B1224" t="e">
        <f t="shared" si="46"/>
        <v>#N/A</v>
      </c>
      <c r="C1224" s="209" t="e">
        <f t="shared" si="47"/>
        <v>#N/A</v>
      </c>
      <c r="D1224" t="s">
        <v>4973</v>
      </c>
      <c r="E1224" t="e">
        <v>#N/A</v>
      </c>
      <c r="F1224" t="e">
        <v>#N/A</v>
      </c>
      <c r="G1224" t="e">
        <v>#N/A</v>
      </c>
      <c r="H1224" s="214">
        <v>395.40001000000001</v>
      </c>
      <c r="I1224" s="425" t="e">
        <v>#N/A</v>
      </c>
      <c r="J1224" s="91">
        <v>88.434460000000001</v>
      </c>
      <c r="K1224" s="425">
        <v>7068.5884100000003</v>
      </c>
      <c r="L1224" s="542" t="s">
        <v>622</v>
      </c>
    </row>
    <row r="1225" spans="1:12" ht="15">
      <c r="A1225">
        <v>293016</v>
      </c>
      <c r="B1225" t="e">
        <f t="shared" si="46"/>
        <v>#N/A</v>
      </c>
      <c r="C1225" s="209" t="e">
        <f t="shared" si="47"/>
        <v>#N/A</v>
      </c>
      <c r="D1225" t="s">
        <v>4974</v>
      </c>
      <c r="E1225" t="e">
        <v>#N/A</v>
      </c>
      <c r="F1225" t="e">
        <v>#N/A</v>
      </c>
      <c r="G1225" t="e">
        <v>#N/A</v>
      </c>
      <c r="H1225" s="214">
        <v>277.24793</v>
      </c>
      <c r="I1225" s="425" t="e">
        <v>#N/A</v>
      </c>
      <c r="J1225" s="91">
        <v>62.008780000000002</v>
      </c>
      <c r="K1225" s="425">
        <v>4956.3770800000002</v>
      </c>
      <c r="L1225" s="542" t="s">
        <v>622</v>
      </c>
    </row>
    <row r="1226" spans="1:12" ht="15">
      <c r="A1226">
        <v>293019</v>
      </c>
      <c r="B1226" t="e">
        <f t="shared" si="46"/>
        <v>#N/A</v>
      </c>
      <c r="C1226" s="209" t="e">
        <f t="shared" si="47"/>
        <v>#N/A</v>
      </c>
      <c r="D1226" t="s">
        <v>4975</v>
      </c>
      <c r="E1226" t="e">
        <v>#N/A</v>
      </c>
      <c r="F1226" t="e">
        <v>#N/A</v>
      </c>
      <c r="G1226" t="e">
        <v>#N/A</v>
      </c>
      <c r="H1226" s="214">
        <v>274.90829000000002</v>
      </c>
      <c r="I1226" s="425" t="e">
        <v>#N/A</v>
      </c>
      <c r="J1226" s="91">
        <v>61.485500000000002</v>
      </c>
      <c r="K1226" s="425">
        <v>4914.5510999999997</v>
      </c>
      <c r="L1226" s="542" t="s">
        <v>622</v>
      </c>
    </row>
    <row r="1227" spans="1:12" ht="15">
      <c r="A1227">
        <v>293020</v>
      </c>
      <c r="B1227" t="e">
        <f t="shared" si="46"/>
        <v>#N/A</v>
      </c>
      <c r="C1227" s="209" t="e">
        <f t="shared" si="47"/>
        <v>#N/A</v>
      </c>
      <c r="D1227" t="s">
        <v>4976</v>
      </c>
      <c r="E1227" t="e">
        <v>#N/A</v>
      </c>
      <c r="F1227" t="e">
        <v>#N/A</v>
      </c>
      <c r="G1227" t="e">
        <v>#N/A</v>
      </c>
      <c r="H1227" s="214">
        <v>274.90829000000002</v>
      </c>
      <c r="I1227" s="425" t="e">
        <v>#N/A</v>
      </c>
      <c r="J1227" s="91">
        <v>61.485500000000002</v>
      </c>
      <c r="K1227" s="425">
        <v>4914.5510999999997</v>
      </c>
      <c r="L1227" s="542" t="s">
        <v>622</v>
      </c>
    </row>
    <row r="1228" spans="1:12" ht="15">
      <c r="A1228">
        <v>293147</v>
      </c>
      <c r="B1228" t="e">
        <f t="shared" si="46"/>
        <v>#N/A</v>
      </c>
      <c r="C1228" s="209" t="e">
        <f t="shared" si="47"/>
        <v>#N/A</v>
      </c>
      <c r="D1228" t="s">
        <v>4977</v>
      </c>
      <c r="E1228" t="e">
        <v>#N/A</v>
      </c>
      <c r="F1228" t="e">
        <v>#N/A</v>
      </c>
      <c r="G1228" t="e">
        <v>#N/A</v>
      </c>
      <c r="H1228" s="214">
        <v>25879.96128</v>
      </c>
      <c r="I1228" s="425" t="e">
        <v>#N/A</v>
      </c>
      <c r="J1228" s="91">
        <v>3141.4835800000001</v>
      </c>
      <c r="K1228" s="425">
        <v>281975.38675000001</v>
      </c>
      <c r="L1228" s="542" t="s">
        <v>622</v>
      </c>
    </row>
    <row r="1229" spans="1:12" ht="15">
      <c r="A1229">
        <v>293148</v>
      </c>
      <c r="B1229" t="e">
        <f t="shared" si="46"/>
        <v>#N/A</v>
      </c>
      <c r="C1229" s="209" t="e">
        <f t="shared" si="47"/>
        <v>#N/A</v>
      </c>
      <c r="D1229" t="s">
        <v>4978</v>
      </c>
      <c r="E1229" t="e">
        <v>#N/A</v>
      </c>
      <c r="F1229" t="e">
        <v>#N/A</v>
      </c>
      <c r="G1229" t="e">
        <v>#N/A</v>
      </c>
      <c r="H1229" s="214">
        <v>19015.167839999998</v>
      </c>
      <c r="I1229" s="425" t="e">
        <v>#N/A</v>
      </c>
      <c r="J1229" s="91">
        <v>2308.1888300000001</v>
      </c>
      <c r="K1229" s="425">
        <v>207179.95856999999</v>
      </c>
      <c r="L1229" s="542" t="s">
        <v>622</v>
      </c>
    </row>
    <row r="1230" spans="1:12" ht="15">
      <c r="A1230">
        <v>293151</v>
      </c>
      <c r="B1230" t="e">
        <f t="shared" si="46"/>
        <v>#N/A</v>
      </c>
      <c r="C1230" s="209" t="e">
        <f t="shared" si="47"/>
        <v>#N/A</v>
      </c>
      <c r="D1230" t="s">
        <v>4979</v>
      </c>
      <c r="E1230" t="e">
        <v>#N/A</v>
      </c>
      <c r="F1230" t="e">
        <v>#N/A</v>
      </c>
      <c r="G1230" t="e">
        <v>#N/A</v>
      </c>
      <c r="H1230" s="214">
        <v>8185</v>
      </c>
      <c r="I1230" s="425" t="e">
        <v>#N/A</v>
      </c>
      <c r="J1230" s="91">
        <v>954.19672000000003</v>
      </c>
      <c r="K1230" s="425">
        <v>88216.850829999996</v>
      </c>
      <c r="L1230" s="542" t="s">
        <v>622</v>
      </c>
    </row>
    <row r="1231" spans="1:12" ht="15">
      <c r="A1231">
        <v>293153</v>
      </c>
      <c r="B1231" t="e">
        <f t="shared" si="46"/>
        <v>#N/A</v>
      </c>
      <c r="C1231" s="209" t="e">
        <f t="shared" si="47"/>
        <v>#N/A</v>
      </c>
      <c r="D1231" t="s">
        <v>4980</v>
      </c>
      <c r="E1231" t="e">
        <v>#N/A</v>
      </c>
      <c r="F1231" t="e">
        <v>#N/A</v>
      </c>
      <c r="G1231" t="e">
        <v>#N/A</v>
      </c>
      <c r="H1231" s="214">
        <v>8377</v>
      </c>
      <c r="I1231" s="425" t="e">
        <v>#N/A</v>
      </c>
      <c r="J1231" s="91">
        <v>976.01525000000004</v>
      </c>
      <c r="K1231" s="425">
        <v>90234.005520000006</v>
      </c>
      <c r="L1231" s="542" t="s">
        <v>622</v>
      </c>
    </row>
    <row r="1232" spans="1:12" ht="15">
      <c r="A1232">
        <v>293159</v>
      </c>
      <c r="B1232" t="e">
        <f t="shared" si="46"/>
        <v>#N/A</v>
      </c>
      <c r="C1232" s="209" t="e">
        <f t="shared" si="47"/>
        <v>#N/A</v>
      </c>
      <c r="D1232" t="s">
        <v>4981</v>
      </c>
      <c r="E1232" t="e">
        <v>#N/A</v>
      </c>
      <c r="F1232" t="e">
        <v>#N/A</v>
      </c>
      <c r="G1232" t="e">
        <v>#N/A</v>
      </c>
      <c r="H1232" s="214">
        <v>8838.4</v>
      </c>
      <c r="I1232" s="425" t="e">
        <v>#N/A</v>
      </c>
      <c r="J1232" s="91">
        <v>670.54022999999995</v>
      </c>
      <c r="K1232" s="425">
        <v>61992.403319999998</v>
      </c>
      <c r="L1232" s="542" t="s">
        <v>622</v>
      </c>
    </row>
    <row r="1233" spans="1:12" ht="15">
      <c r="A1233">
        <v>293160</v>
      </c>
      <c r="B1233" t="e">
        <f t="shared" si="46"/>
        <v>#N/A</v>
      </c>
      <c r="C1233" s="209" t="e">
        <f t="shared" si="47"/>
        <v>#N/A</v>
      </c>
      <c r="D1233" t="s">
        <v>4982</v>
      </c>
      <c r="E1233" t="e">
        <v>#N/A</v>
      </c>
      <c r="F1233" t="e">
        <v>#N/A</v>
      </c>
      <c r="G1233" t="e">
        <v>#N/A</v>
      </c>
      <c r="H1233" s="214">
        <v>9488</v>
      </c>
      <c r="I1233" s="425" t="e">
        <v>#N/A</v>
      </c>
      <c r="J1233" s="91">
        <v>719.82325000000003</v>
      </c>
      <c r="K1233" s="425">
        <v>66548.687839999999</v>
      </c>
      <c r="L1233" s="542" t="s">
        <v>622</v>
      </c>
    </row>
    <row r="1234" spans="1:12" ht="15">
      <c r="A1234">
        <v>293161</v>
      </c>
      <c r="B1234" t="e">
        <f t="shared" si="46"/>
        <v>#N/A</v>
      </c>
      <c r="C1234" s="209" t="e">
        <f t="shared" si="47"/>
        <v>#N/A</v>
      </c>
      <c r="D1234" t="s">
        <v>4983</v>
      </c>
      <c r="E1234" t="e">
        <v>#N/A</v>
      </c>
      <c r="F1234" t="e">
        <v>#N/A</v>
      </c>
      <c r="G1234" t="e">
        <v>#N/A</v>
      </c>
      <c r="H1234" s="214">
        <v>9681.6</v>
      </c>
      <c r="I1234" s="425" t="e">
        <v>#N/A</v>
      </c>
      <c r="J1234" s="91">
        <v>734.51103999999998</v>
      </c>
      <c r="K1234" s="425">
        <v>67906.595300000001</v>
      </c>
      <c r="L1234" s="542" t="s">
        <v>622</v>
      </c>
    </row>
    <row r="1235" spans="1:12" ht="15">
      <c r="A1235">
        <v>293162</v>
      </c>
      <c r="B1235" t="e">
        <f t="shared" si="46"/>
        <v>#N/A</v>
      </c>
      <c r="C1235" s="209" t="e">
        <f t="shared" si="47"/>
        <v>#N/A</v>
      </c>
      <c r="D1235" t="s">
        <v>4984</v>
      </c>
      <c r="E1235" t="e">
        <v>#N/A</v>
      </c>
      <c r="F1235" t="e">
        <v>#N/A</v>
      </c>
      <c r="G1235" t="e">
        <v>#N/A</v>
      </c>
      <c r="H1235" s="214">
        <v>9236.7999999999993</v>
      </c>
      <c r="I1235" s="425" t="e">
        <v>#N/A</v>
      </c>
      <c r="J1235" s="91">
        <v>700.76553000000001</v>
      </c>
      <c r="K1235" s="425">
        <v>64786.774859999998</v>
      </c>
      <c r="L1235" s="542" t="s">
        <v>622</v>
      </c>
    </row>
    <row r="1236" spans="1:12" ht="15">
      <c r="A1236">
        <v>293163</v>
      </c>
      <c r="B1236" t="e">
        <f t="shared" si="46"/>
        <v>#N/A</v>
      </c>
      <c r="C1236" s="209" t="e">
        <f t="shared" si="47"/>
        <v>#N/A</v>
      </c>
      <c r="D1236" t="s">
        <v>4985</v>
      </c>
      <c r="E1236" t="e">
        <v>#N/A</v>
      </c>
      <c r="F1236" t="e">
        <v>#N/A</v>
      </c>
      <c r="G1236" t="e">
        <v>#N/A</v>
      </c>
      <c r="H1236" s="214">
        <v>15006.4</v>
      </c>
      <c r="I1236" s="425" t="e">
        <v>#N/A</v>
      </c>
      <c r="J1236" s="91">
        <v>1138.48604</v>
      </c>
      <c r="K1236" s="425">
        <v>105254.66160000001</v>
      </c>
      <c r="L1236" s="542" t="s">
        <v>622</v>
      </c>
    </row>
    <row r="1237" spans="1:12" ht="15">
      <c r="A1237">
        <v>293164</v>
      </c>
      <c r="B1237" t="e">
        <f t="shared" si="46"/>
        <v>#N/A</v>
      </c>
      <c r="C1237" s="209" t="e">
        <f t="shared" si="47"/>
        <v>#N/A</v>
      </c>
      <c r="D1237" t="s">
        <v>4986</v>
      </c>
      <c r="E1237" t="e">
        <v>#N/A</v>
      </c>
      <c r="F1237" t="e">
        <v>#N/A</v>
      </c>
      <c r="G1237" t="e">
        <v>#N/A</v>
      </c>
      <c r="H1237" s="214">
        <v>12492.87</v>
      </c>
      <c r="I1237" s="425" t="e">
        <v>#N/A</v>
      </c>
      <c r="J1237" s="91">
        <v>1516.4684999999999</v>
      </c>
      <c r="K1237" s="425">
        <v>136116.19475</v>
      </c>
      <c r="L1237" s="542" t="s">
        <v>622</v>
      </c>
    </row>
    <row r="1238" spans="1:12" ht="15">
      <c r="A1238">
        <v>293165</v>
      </c>
      <c r="B1238" t="e">
        <f t="shared" si="46"/>
        <v>#N/A</v>
      </c>
      <c r="C1238" s="209" t="e">
        <f t="shared" si="47"/>
        <v>#N/A</v>
      </c>
      <c r="D1238" t="s">
        <v>4987</v>
      </c>
      <c r="E1238" t="e">
        <v>#N/A</v>
      </c>
      <c r="F1238" t="e">
        <v>#N/A</v>
      </c>
      <c r="G1238" t="e">
        <v>#N/A</v>
      </c>
      <c r="H1238" s="214">
        <v>12604.11</v>
      </c>
      <c r="I1238" s="425" t="e">
        <v>#N/A</v>
      </c>
      <c r="J1238" s="91">
        <v>1529.97156</v>
      </c>
      <c r="K1238" s="425">
        <v>137328.21132999999</v>
      </c>
      <c r="L1238" s="542" t="s">
        <v>622</v>
      </c>
    </row>
    <row r="1239" spans="1:12" ht="15">
      <c r="A1239">
        <v>293167</v>
      </c>
      <c r="B1239" t="e">
        <f t="shared" si="46"/>
        <v>#N/A</v>
      </c>
      <c r="C1239" s="209" t="e">
        <f t="shared" si="47"/>
        <v>#N/A</v>
      </c>
      <c r="D1239" t="s">
        <v>4988</v>
      </c>
      <c r="E1239" t="e">
        <v>#N/A</v>
      </c>
      <c r="F1239" t="e">
        <v>#N/A</v>
      </c>
      <c r="G1239" t="e">
        <v>#N/A</v>
      </c>
      <c r="H1239" s="214">
        <v>6705.7428200000004</v>
      </c>
      <c r="I1239" s="425" t="e">
        <v>#N/A</v>
      </c>
      <c r="J1239" s="91">
        <v>813.98811000000001</v>
      </c>
      <c r="K1239" s="425">
        <v>73062.490479999993</v>
      </c>
      <c r="L1239" s="542" t="s">
        <v>622</v>
      </c>
    </row>
    <row r="1240" spans="1:12" ht="15">
      <c r="A1240">
        <v>393220</v>
      </c>
      <c r="B1240" t="e">
        <f t="shared" si="46"/>
        <v>#N/A</v>
      </c>
      <c r="C1240" s="209" t="e">
        <f t="shared" si="47"/>
        <v>#N/A</v>
      </c>
      <c r="D1240" t="s">
        <v>4989</v>
      </c>
      <c r="E1240" t="e">
        <v>#N/A</v>
      </c>
      <c r="F1240" t="e">
        <v>#N/A</v>
      </c>
      <c r="G1240" t="e">
        <v>#N/A</v>
      </c>
      <c r="H1240" s="214">
        <v>0</v>
      </c>
      <c r="I1240" s="425" t="e">
        <v>#N/A</v>
      </c>
      <c r="J1240" s="91">
        <v>0</v>
      </c>
      <c r="K1240" s="425">
        <v>0</v>
      </c>
      <c r="L1240" s="542" t="s">
        <v>1025</v>
      </c>
    </row>
    <row r="1241" spans="1:12" ht="15">
      <c r="A1241">
        <v>393222</v>
      </c>
      <c r="B1241" t="e">
        <f t="shared" si="46"/>
        <v>#N/A</v>
      </c>
      <c r="C1241" s="209" t="e">
        <f t="shared" si="47"/>
        <v>#N/A</v>
      </c>
      <c r="D1241" t="s">
        <v>4990</v>
      </c>
      <c r="E1241" t="e">
        <v>#N/A</v>
      </c>
      <c r="F1241" t="e">
        <v>#N/A</v>
      </c>
      <c r="G1241" t="e">
        <v>#N/A</v>
      </c>
      <c r="H1241" s="214">
        <v>0</v>
      </c>
      <c r="I1241" s="425" t="e">
        <v>#N/A</v>
      </c>
      <c r="J1241" s="91">
        <v>0</v>
      </c>
      <c r="K1241" s="425">
        <v>0</v>
      </c>
      <c r="L1241" s="542" t="s">
        <v>1025</v>
      </c>
    </row>
    <row r="1242" spans="1:12" ht="15">
      <c r="A1242">
        <v>393224</v>
      </c>
      <c r="B1242" t="e">
        <f t="shared" ref="B1242:B1303" si="48">IF($A$2=1,D1242,IF($A$2=2,F1242,IF($A$2=3,G1242,IF($A$2=4,E1242,"zadat jazyk"))))</f>
        <v>#N/A</v>
      </c>
      <c r="C1242" s="209" t="e">
        <f t="shared" ref="C1242:C1303" si="49">IF($A$2=1,H1242,IF($A$2=2,I1242,IF($A$2=3,J1242,IF($A$2=4,K1242,"zadat jazyk"))))</f>
        <v>#N/A</v>
      </c>
      <c r="D1242" t="s">
        <v>4991</v>
      </c>
      <c r="E1242" t="e">
        <v>#N/A</v>
      </c>
      <c r="F1242" t="e">
        <v>#N/A</v>
      </c>
      <c r="G1242" t="e">
        <v>#N/A</v>
      </c>
      <c r="H1242" s="214">
        <v>0</v>
      </c>
      <c r="I1242" s="425" t="e">
        <v>#N/A</v>
      </c>
      <c r="J1242" s="91">
        <v>0</v>
      </c>
      <c r="K1242" s="425">
        <v>0</v>
      </c>
      <c r="L1242" s="542" t="s">
        <v>1025</v>
      </c>
    </row>
    <row r="1243" spans="1:12" ht="15">
      <c r="A1243">
        <v>393226</v>
      </c>
      <c r="B1243" t="e">
        <f t="shared" si="48"/>
        <v>#N/A</v>
      </c>
      <c r="C1243" s="209" t="e">
        <f t="shared" si="49"/>
        <v>#N/A</v>
      </c>
      <c r="D1243" t="s">
        <v>4992</v>
      </c>
      <c r="E1243" t="e">
        <v>#N/A</v>
      </c>
      <c r="F1243" t="e">
        <v>#N/A</v>
      </c>
      <c r="G1243" t="e">
        <v>#N/A</v>
      </c>
      <c r="H1243" s="214">
        <v>0</v>
      </c>
      <c r="I1243" s="425" t="e">
        <v>#N/A</v>
      </c>
      <c r="J1243" s="91">
        <v>0</v>
      </c>
      <c r="K1243" s="425">
        <v>0</v>
      </c>
      <c r="L1243" s="542" t="s">
        <v>1025</v>
      </c>
    </row>
    <row r="1244" spans="1:12" ht="15">
      <c r="A1244">
        <v>393227</v>
      </c>
      <c r="B1244" t="e">
        <f t="shared" si="48"/>
        <v>#N/A</v>
      </c>
      <c r="C1244" s="209" t="e">
        <f t="shared" si="49"/>
        <v>#N/A</v>
      </c>
      <c r="D1244" t="s">
        <v>4993</v>
      </c>
      <c r="E1244" t="e">
        <v>#N/A</v>
      </c>
      <c r="F1244" t="e">
        <v>#N/A</v>
      </c>
      <c r="G1244" t="e">
        <v>#N/A</v>
      </c>
      <c r="H1244" s="214">
        <v>0</v>
      </c>
      <c r="I1244" s="425" t="e">
        <v>#N/A</v>
      </c>
      <c r="J1244" s="91">
        <v>0</v>
      </c>
      <c r="K1244" s="425">
        <v>0</v>
      </c>
      <c r="L1244" s="542" t="s">
        <v>1025</v>
      </c>
    </row>
    <row r="1245" spans="1:12" ht="15">
      <c r="A1245">
        <v>393229</v>
      </c>
      <c r="B1245" t="e">
        <f t="shared" si="48"/>
        <v>#N/A</v>
      </c>
      <c r="C1245" s="209" t="e">
        <f t="shared" si="49"/>
        <v>#N/A</v>
      </c>
      <c r="D1245" t="s">
        <v>4994</v>
      </c>
      <c r="E1245" t="e">
        <v>#N/A</v>
      </c>
      <c r="F1245" t="e">
        <v>#N/A</v>
      </c>
      <c r="G1245" t="e">
        <v>#N/A</v>
      </c>
      <c r="H1245" s="214">
        <v>0</v>
      </c>
      <c r="I1245" s="425" t="e">
        <v>#N/A</v>
      </c>
      <c r="J1245" s="91">
        <v>0</v>
      </c>
      <c r="K1245" s="425">
        <v>0</v>
      </c>
      <c r="L1245" s="542" t="s">
        <v>1025</v>
      </c>
    </row>
    <row r="1246" spans="1:12" ht="15">
      <c r="A1246">
        <v>393230</v>
      </c>
      <c r="B1246" t="e">
        <f t="shared" si="48"/>
        <v>#N/A</v>
      </c>
      <c r="C1246" s="209" t="e">
        <f t="shared" si="49"/>
        <v>#N/A</v>
      </c>
      <c r="D1246" t="s">
        <v>4995</v>
      </c>
      <c r="E1246" t="e">
        <v>#N/A</v>
      </c>
      <c r="F1246" t="e">
        <v>#N/A</v>
      </c>
      <c r="G1246" t="e">
        <v>#N/A</v>
      </c>
      <c r="H1246" s="214">
        <v>0</v>
      </c>
      <c r="I1246" s="425" t="e">
        <v>#N/A</v>
      </c>
      <c r="J1246" s="91">
        <v>0</v>
      </c>
      <c r="K1246" s="425">
        <v>0</v>
      </c>
      <c r="L1246" s="542" t="s">
        <v>1025</v>
      </c>
    </row>
    <row r="1247" spans="1:12" ht="15">
      <c r="A1247">
        <v>393231</v>
      </c>
      <c r="B1247" t="e">
        <f t="shared" si="48"/>
        <v>#N/A</v>
      </c>
      <c r="C1247" s="209" t="e">
        <f t="shared" si="49"/>
        <v>#N/A</v>
      </c>
      <c r="D1247" t="s">
        <v>4996</v>
      </c>
      <c r="E1247" t="e">
        <v>#N/A</v>
      </c>
      <c r="F1247" t="e">
        <v>#N/A</v>
      </c>
      <c r="G1247" t="e">
        <v>#N/A</v>
      </c>
      <c r="H1247" s="214">
        <v>0</v>
      </c>
      <c r="I1247" s="425" t="e">
        <v>#N/A</v>
      </c>
      <c r="J1247" s="91">
        <v>0</v>
      </c>
      <c r="K1247" s="425">
        <v>0</v>
      </c>
      <c r="L1247" s="542" t="s">
        <v>1025</v>
      </c>
    </row>
    <row r="1248" spans="1:12" ht="15">
      <c r="A1248">
        <v>393232</v>
      </c>
      <c r="B1248" t="e">
        <f t="shared" si="48"/>
        <v>#N/A</v>
      </c>
      <c r="C1248" s="209" t="e">
        <f t="shared" si="49"/>
        <v>#N/A</v>
      </c>
      <c r="D1248" t="s">
        <v>4997</v>
      </c>
      <c r="E1248" t="e">
        <v>#N/A</v>
      </c>
      <c r="F1248" t="e">
        <v>#N/A</v>
      </c>
      <c r="G1248" t="e">
        <v>#N/A</v>
      </c>
      <c r="H1248" s="214">
        <v>0</v>
      </c>
      <c r="I1248" s="425" t="e">
        <v>#N/A</v>
      </c>
      <c r="J1248" s="91">
        <v>0</v>
      </c>
      <c r="K1248" s="425">
        <v>0</v>
      </c>
      <c r="L1248" s="542" t="s">
        <v>1025</v>
      </c>
    </row>
    <row r="1249" spans="1:12" ht="15">
      <c r="A1249">
        <v>393233</v>
      </c>
      <c r="B1249" t="e">
        <f t="shared" si="48"/>
        <v>#N/A</v>
      </c>
      <c r="C1249" s="209" t="e">
        <f t="shared" si="49"/>
        <v>#N/A</v>
      </c>
      <c r="D1249" t="s">
        <v>4998</v>
      </c>
      <c r="E1249" t="e">
        <v>#N/A</v>
      </c>
      <c r="F1249" t="e">
        <v>#N/A</v>
      </c>
      <c r="G1249" t="e">
        <v>#N/A</v>
      </c>
      <c r="H1249" s="214">
        <v>0</v>
      </c>
      <c r="I1249" s="425" t="e">
        <v>#N/A</v>
      </c>
      <c r="J1249" s="91">
        <v>0</v>
      </c>
      <c r="K1249" s="425">
        <v>0</v>
      </c>
      <c r="L1249" s="542" t="s">
        <v>1025</v>
      </c>
    </row>
    <row r="1250" spans="1:12" ht="15">
      <c r="A1250">
        <v>393234</v>
      </c>
      <c r="B1250" t="e">
        <f t="shared" si="48"/>
        <v>#N/A</v>
      </c>
      <c r="C1250" s="209" t="e">
        <f t="shared" si="49"/>
        <v>#N/A</v>
      </c>
      <c r="D1250" t="s">
        <v>4999</v>
      </c>
      <c r="E1250" t="e">
        <v>#N/A</v>
      </c>
      <c r="F1250" t="e">
        <v>#N/A</v>
      </c>
      <c r="G1250" t="e">
        <v>#N/A</v>
      </c>
      <c r="H1250" s="214">
        <v>0</v>
      </c>
      <c r="I1250" s="425" t="e">
        <v>#N/A</v>
      </c>
      <c r="J1250" s="91">
        <v>0</v>
      </c>
      <c r="K1250" s="425">
        <v>0</v>
      </c>
      <c r="L1250" s="542" t="s">
        <v>1025</v>
      </c>
    </row>
    <row r="1251" spans="1:12" ht="15">
      <c r="A1251">
        <v>393235</v>
      </c>
      <c r="B1251" t="e">
        <f t="shared" si="48"/>
        <v>#N/A</v>
      </c>
      <c r="C1251" s="209" t="e">
        <f t="shared" si="49"/>
        <v>#N/A</v>
      </c>
      <c r="D1251" t="s">
        <v>5000</v>
      </c>
      <c r="E1251" t="e">
        <v>#N/A</v>
      </c>
      <c r="F1251" t="e">
        <v>#N/A</v>
      </c>
      <c r="G1251" t="e">
        <v>#N/A</v>
      </c>
      <c r="H1251" s="214">
        <v>0</v>
      </c>
      <c r="I1251" s="425" t="e">
        <v>#N/A</v>
      </c>
      <c r="J1251" s="91">
        <v>0</v>
      </c>
      <c r="K1251" s="425">
        <v>0</v>
      </c>
      <c r="L1251" s="542" t="s">
        <v>1025</v>
      </c>
    </row>
    <row r="1252" spans="1:12" ht="15">
      <c r="A1252">
        <v>393273</v>
      </c>
      <c r="B1252" t="e">
        <f t="shared" si="48"/>
        <v>#N/A</v>
      </c>
      <c r="C1252" s="209" t="e">
        <f t="shared" si="49"/>
        <v>#N/A</v>
      </c>
      <c r="D1252" t="s">
        <v>5001</v>
      </c>
      <c r="E1252" t="e">
        <v>#N/A</v>
      </c>
      <c r="F1252" t="e">
        <v>#N/A</v>
      </c>
      <c r="G1252" t="e">
        <v>#N/A</v>
      </c>
      <c r="H1252" s="214">
        <v>769.28494000000001</v>
      </c>
      <c r="I1252" s="425" t="e">
        <v>#N/A</v>
      </c>
      <c r="J1252" s="91">
        <v>138.94578000000001</v>
      </c>
      <c r="K1252" s="425">
        <v>11269.55487</v>
      </c>
      <c r="L1252" s="542" t="s">
        <v>621</v>
      </c>
    </row>
    <row r="1253" spans="1:12" ht="15">
      <c r="A1253">
        <v>393276</v>
      </c>
      <c r="B1253" t="e">
        <f t="shared" si="48"/>
        <v>#N/A</v>
      </c>
      <c r="C1253" s="209" t="e">
        <f t="shared" si="49"/>
        <v>#N/A</v>
      </c>
      <c r="D1253" t="s">
        <v>5002</v>
      </c>
      <c r="E1253" t="e">
        <v>#N/A</v>
      </c>
      <c r="F1253" t="e">
        <v>#N/A</v>
      </c>
      <c r="G1253" t="e">
        <v>#N/A</v>
      </c>
      <c r="H1253" s="214">
        <v>1198.9646600000001</v>
      </c>
      <c r="I1253" s="425" t="e">
        <v>#N/A</v>
      </c>
      <c r="J1253" s="91">
        <v>216.55314999999999</v>
      </c>
      <c r="K1253" s="425">
        <v>17564.10067</v>
      </c>
      <c r="L1253" s="542" t="s">
        <v>621</v>
      </c>
    </row>
    <row r="1254" spans="1:12" ht="15">
      <c r="A1254">
        <v>393278</v>
      </c>
      <c r="B1254" t="str">
        <f t="shared" si="48"/>
        <v>SEVROLL Maxim horné vedenie 1,8m oliva</v>
      </c>
      <c r="C1254" s="209">
        <f t="shared" si="49"/>
        <v>18.560079999999999</v>
      </c>
      <c r="D1254" t="s">
        <v>5003</v>
      </c>
      <c r="E1254" t="s">
        <v>6324</v>
      </c>
      <c r="F1254" t="s">
        <v>6900</v>
      </c>
      <c r="G1254" t="s">
        <v>7494</v>
      </c>
      <c r="H1254" s="214">
        <v>534.47167999999999</v>
      </c>
      <c r="I1254" s="425">
        <v>18.560079999999999</v>
      </c>
      <c r="J1254" s="91">
        <v>63.16</v>
      </c>
      <c r="K1254" s="425">
        <v>6055.7154600000003</v>
      </c>
      <c r="L1254" s="542" t="s">
        <v>622</v>
      </c>
    </row>
    <row r="1255" spans="1:12" ht="15">
      <c r="A1255">
        <v>393279</v>
      </c>
      <c r="B1255" t="str">
        <f t="shared" si="48"/>
        <v>SEVROLL Maxim spodná krycia lišta 1,8m 18mm oliva</v>
      </c>
      <c r="C1255" s="209">
        <f t="shared" si="49"/>
        <v>26.948270000000001</v>
      </c>
      <c r="D1255" t="s">
        <v>5004</v>
      </c>
      <c r="E1255" t="s">
        <v>6325</v>
      </c>
      <c r="F1255" t="s">
        <v>6953</v>
      </c>
      <c r="G1255" t="s">
        <v>7495</v>
      </c>
      <c r="H1255" s="214">
        <v>776.44287999999995</v>
      </c>
      <c r="I1255" s="425">
        <v>26.948270000000001</v>
      </c>
      <c r="J1255" s="91">
        <v>91.76</v>
      </c>
      <c r="K1255" s="425">
        <v>8797.3176899999999</v>
      </c>
      <c r="L1255" s="542" t="s">
        <v>622</v>
      </c>
    </row>
    <row r="1256" spans="1:12" ht="15">
      <c r="A1256">
        <v>393305</v>
      </c>
      <c r="B1256" t="e">
        <f t="shared" si="48"/>
        <v>#N/A</v>
      </c>
      <c r="C1256" s="209" t="e">
        <f t="shared" si="49"/>
        <v>#N/A</v>
      </c>
      <c r="D1256" t="s">
        <v>5005</v>
      </c>
      <c r="E1256" t="e">
        <v>#N/A</v>
      </c>
      <c r="F1256" t="e">
        <v>#N/A</v>
      </c>
      <c r="G1256" t="e">
        <v>#N/A</v>
      </c>
      <c r="H1256" s="214">
        <v>1288.8565699999999</v>
      </c>
      <c r="I1256" s="425" t="e">
        <v>#N/A</v>
      </c>
      <c r="J1256" s="91">
        <v>232.78914</v>
      </c>
      <c r="K1256" s="425">
        <v>18880.962510000001</v>
      </c>
      <c r="L1256" s="542" t="s">
        <v>621</v>
      </c>
    </row>
    <row r="1257" spans="1:12" ht="15">
      <c r="A1257">
        <v>393306</v>
      </c>
      <c r="B1257" t="e">
        <f t="shared" si="48"/>
        <v>#N/A</v>
      </c>
      <c r="C1257" s="209" t="e">
        <f t="shared" si="49"/>
        <v>#N/A</v>
      </c>
      <c r="D1257" t="s">
        <v>5006</v>
      </c>
      <c r="E1257" t="e">
        <v>#N/A</v>
      </c>
      <c r="F1257" t="e">
        <v>#N/A</v>
      </c>
      <c r="G1257" t="e">
        <v>#N/A</v>
      </c>
      <c r="H1257" s="214">
        <v>1403.45812</v>
      </c>
      <c r="I1257" s="425" t="e">
        <v>#N/A</v>
      </c>
      <c r="J1257" s="91">
        <v>253.48811000000001</v>
      </c>
      <c r="K1257" s="425">
        <v>20559.805199999999</v>
      </c>
      <c r="L1257" s="542" t="s">
        <v>621</v>
      </c>
    </row>
    <row r="1258" spans="1:12" ht="15">
      <c r="A1258">
        <v>393307</v>
      </c>
      <c r="B1258" t="e">
        <f t="shared" si="48"/>
        <v>#N/A</v>
      </c>
      <c r="C1258" s="209" t="e">
        <f t="shared" si="49"/>
        <v>#N/A</v>
      </c>
      <c r="D1258" t="s">
        <v>5007</v>
      </c>
      <c r="E1258" t="e">
        <v>#N/A</v>
      </c>
      <c r="F1258" t="e">
        <v>#N/A</v>
      </c>
      <c r="G1258" t="e">
        <v>#N/A</v>
      </c>
      <c r="H1258" s="214">
        <v>1511.18235</v>
      </c>
      <c r="I1258" s="425" t="e">
        <v>#N/A</v>
      </c>
      <c r="J1258" s="91">
        <v>272.94490999999999</v>
      </c>
      <c r="K1258" s="425">
        <v>22137.899509999999</v>
      </c>
      <c r="L1258" s="542" t="s">
        <v>621</v>
      </c>
    </row>
    <row r="1259" spans="1:12" ht="15">
      <c r="A1259">
        <v>393308</v>
      </c>
      <c r="B1259" t="e">
        <f t="shared" si="48"/>
        <v>#N/A</v>
      </c>
      <c r="C1259" s="209" t="e">
        <f t="shared" si="49"/>
        <v>#N/A</v>
      </c>
      <c r="D1259" t="s">
        <v>5008</v>
      </c>
      <c r="E1259" t="e">
        <v>#N/A</v>
      </c>
      <c r="F1259" t="e">
        <v>#N/A</v>
      </c>
      <c r="G1259" t="e">
        <v>#N/A</v>
      </c>
      <c r="H1259" s="214">
        <v>1629.25299</v>
      </c>
      <c r="I1259" s="425" t="e">
        <v>#N/A</v>
      </c>
      <c r="J1259" s="91">
        <v>294.27046000000001</v>
      </c>
      <c r="K1259" s="425">
        <v>23867.562180000001</v>
      </c>
      <c r="L1259" s="542" t="s">
        <v>621</v>
      </c>
    </row>
    <row r="1260" spans="1:12" ht="15">
      <c r="A1260">
        <v>416531</v>
      </c>
      <c r="B1260" t="e">
        <f t="shared" si="48"/>
        <v>#N/A</v>
      </c>
      <c r="C1260" s="209" t="e">
        <f t="shared" si="49"/>
        <v>#N/A</v>
      </c>
      <c r="D1260" t="s">
        <v>5009</v>
      </c>
      <c r="E1260" t="e">
        <v>#N/A</v>
      </c>
      <c r="F1260" t="e">
        <v>#N/A</v>
      </c>
      <c r="G1260" t="e">
        <v>#N/A</v>
      </c>
      <c r="H1260" s="214">
        <v>311.17385999999999</v>
      </c>
      <c r="I1260" s="425" t="e">
        <v>#N/A</v>
      </c>
      <c r="J1260" s="91">
        <v>69.596590000000006</v>
      </c>
      <c r="K1260" s="425">
        <v>5562.8535899999997</v>
      </c>
      <c r="L1260" s="542" t="s">
        <v>622</v>
      </c>
    </row>
    <row r="1261" spans="1:12" ht="15">
      <c r="A1261">
        <v>416695</v>
      </c>
      <c r="B1261" t="str">
        <f t="shared" si="48"/>
        <v>SEVROLL Harmony sada kovania pre dvoje dvere</v>
      </c>
      <c r="C1261" s="209">
        <f t="shared" si="49"/>
        <v>918.24188000000004</v>
      </c>
      <c r="D1261" t="s">
        <v>5010</v>
      </c>
      <c r="E1261" t="s">
        <v>6326</v>
      </c>
      <c r="F1261" t="s">
        <v>6954</v>
      </c>
      <c r="G1261" t="s">
        <v>7496</v>
      </c>
      <c r="H1261" s="214">
        <v>26450.298879999998</v>
      </c>
      <c r="I1261" s="425">
        <v>918.24188000000004</v>
      </c>
      <c r="J1261" s="91">
        <v>3125.73</v>
      </c>
      <c r="K1261" s="425">
        <v>299689.37569000002</v>
      </c>
      <c r="L1261" s="542" t="s">
        <v>622</v>
      </c>
    </row>
    <row r="1262" spans="1:12" ht="15">
      <c r="A1262">
        <v>464138</v>
      </c>
      <c r="B1262" t="str">
        <f t="shared" si="48"/>
        <v>SEVROLL  UHOLNÍK 17*11 STRIEBOR. 4,05M</v>
      </c>
      <c r="C1262" s="209">
        <f t="shared" si="49"/>
        <v>0</v>
      </c>
      <c r="D1262" t="s">
        <v>5011</v>
      </c>
      <c r="E1262" t="s">
        <v>6327</v>
      </c>
      <c r="F1262" t="s">
        <v>6955</v>
      </c>
      <c r="G1262" t="s">
        <v>7497</v>
      </c>
      <c r="H1262" s="214">
        <v>237.70112</v>
      </c>
      <c r="I1262" s="425">
        <v>0</v>
      </c>
      <c r="J1262" s="91">
        <v>30.166260000000001</v>
      </c>
      <c r="K1262" s="425">
        <v>2693.221</v>
      </c>
      <c r="L1262" s="542" t="s">
        <v>622</v>
      </c>
    </row>
    <row r="1263" spans="1:12" ht="15">
      <c r="A1263">
        <v>464295</v>
      </c>
      <c r="B1263" t="str">
        <f t="shared" si="48"/>
        <v/>
      </c>
      <c r="C1263" s="209">
        <f t="shared" si="49"/>
        <v>0.01</v>
      </c>
      <c r="D1263" t="s">
        <v>5012</v>
      </c>
      <c r="E1263" t="s">
        <v>84</v>
      </c>
      <c r="F1263" t="s">
        <v>84</v>
      </c>
      <c r="G1263" t="s">
        <v>84</v>
      </c>
      <c r="H1263" s="214">
        <v>7.1199999999999996E-3</v>
      </c>
      <c r="I1263" s="425">
        <v>0.01</v>
      </c>
      <c r="J1263" s="91">
        <v>455.47451999999998</v>
      </c>
      <c r="K1263" s="425">
        <v>40496.607980000001</v>
      </c>
      <c r="L1263" s="542" t="s">
        <v>624</v>
      </c>
    </row>
    <row r="1264" spans="1:12" ht="15">
      <c r="A1264">
        <v>464296</v>
      </c>
      <c r="B1264" t="str">
        <f t="shared" si="48"/>
        <v/>
      </c>
      <c r="C1264" s="209">
        <f t="shared" si="49"/>
        <v>2.5000000000000001E-4</v>
      </c>
      <c r="D1264" t="s">
        <v>5013</v>
      </c>
      <c r="E1264" t="s">
        <v>84</v>
      </c>
      <c r="F1264" t="s">
        <v>84</v>
      </c>
      <c r="G1264" t="s">
        <v>84</v>
      </c>
      <c r="H1264" s="214">
        <v>7.1199999999999996E-3</v>
      </c>
      <c r="I1264" s="425">
        <v>2.5000000000000001E-4</v>
      </c>
      <c r="J1264" s="91">
        <v>634.39481999999998</v>
      </c>
      <c r="K1264" s="425">
        <v>56404.555699999997</v>
      </c>
      <c r="L1264" s="542" t="s">
        <v>624</v>
      </c>
    </row>
    <row r="1265" spans="1:12" ht="15">
      <c r="A1265">
        <v>391700</v>
      </c>
      <c r="B1265" t="str">
        <f t="shared" si="48"/>
        <v>SEVROLL Micra V sada kovania pre 1 krídlo</v>
      </c>
      <c r="C1265" s="209">
        <f t="shared" si="49"/>
        <v>6.5321800000000003</v>
      </c>
      <c r="D1265" t="s">
        <v>5014</v>
      </c>
      <c r="E1265" t="s">
        <v>6328</v>
      </c>
      <c r="F1265" t="s">
        <v>6956</v>
      </c>
      <c r="G1265" t="s">
        <v>7498</v>
      </c>
      <c r="H1265" s="214">
        <v>175.07328000000001</v>
      </c>
      <c r="I1265" s="425">
        <v>6.5321800000000003</v>
      </c>
      <c r="J1265" s="91">
        <v>25.85</v>
      </c>
      <c r="K1265" s="425">
        <v>1983.6298400000001</v>
      </c>
      <c r="L1265" s="542" t="s">
        <v>621</v>
      </c>
    </row>
    <row r="1266" spans="1:12" ht="15">
      <c r="A1266">
        <v>391738</v>
      </c>
      <c r="B1266" t="str">
        <f t="shared" si="48"/>
        <v/>
      </c>
      <c r="C1266" s="209" t="e">
        <f t="shared" si="49"/>
        <v>#N/A</v>
      </c>
      <c r="D1266" t="s">
        <v>5015</v>
      </c>
      <c r="E1266" t="s">
        <v>6329</v>
      </c>
      <c r="F1266" t="s">
        <v>84</v>
      </c>
      <c r="G1266" t="s">
        <v>7362</v>
      </c>
      <c r="H1266" s="214">
        <v>0</v>
      </c>
      <c r="I1266" s="425" t="e">
        <v>#N/A</v>
      </c>
      <c r="J1266" s="91">
        <v>0</v>
      </c>
      <c r="K1266" s="425">
        <v>0</v>
      </c>
      <c r="L1266" s="542" t="s">
        <v>622</v>
      </c>
    </row>
    <row r="1267" spans="1:12" ht="15">
      <c r="A1267">
        <v>391739</v>
      </c>
      <c r="B1267" t="str">
        <f t="shared" si="48"/>
        <v>SEVROLL Gemini horné vedenie 1,7m RAL9003 ma</v>
      </c>
      <c r="C1267" s="209" t="e">
        <f t="shared" si="49"/>
        <v>#N/A</v>
      </c>
      <c r="D1267" t="s">
        <v>5016</v>
      </c>
      <c r="E1267" t="s">
        <v>6330</v>
      </c>
      <c r="F1267" t="s">
        <v>6957</v>
      </c>
      <c r="G1267" t="s">
        <v>7499</v>
      </c>
      <c r="H1267" s="214">
        <v>0</v>
      </c>
      <c r="I1267" s="425" t="e">
        <v>#N/A</v>
      </c>
      <c r="J1267" s="91">
        <v>0</v>
      </c>
      <c r="K1267" s="425">
        <v>0</v>
      </c>
      <c r="L1267" s="542" t="s">
        <v>622</v>
      </c>
    </row>
    <row r="1268" spans="1:12" ht="15">
      <c r="A1268">
        <v>391740</v>
      </c>
      <c r="B1268" t="str">
        <f t="shared" si="48"/>
        <v>SEVROLL Elegant spodné vedenie 1,7m striebor</v>
      </c>
      <c r="C1268" s="209" t="e">
        <f t="shared" si="49"/>
        <v>#N/A</v>
      </c>
      <c r="D1268" t="s">
        <v>5017</v>
      </c>
      <c r="E1268" t="s">
        <v>6331</v>
      </c>
      <c r="F1268" t="s">
        <v>4059</v>
      </c>
      <c r="G1268" t="s">
        <v>7500</v>
      </c>
      <c r="H1268" s="214">
        <v>0</v>
      </c>
      <c r="I1268" s="425" t="e">
        <v>#N/A</v>
      </c>
      <c r="J1268" s="91">
        <v>0</v>
      </c>
      <c r="K1268" s="425">
        <v>0</v>
      </c>
      <c r="L1268" s="542" t="s">
        <v>622</v>
      </c>
    </row>
    <row r="1269" spans="1:12" ht="15">
      <c r="A1269">
        <v>391741</v>
      </c>
      <c r="B1269" t="str">
        <f t="shared" si="48"/>
        <v>SEVROLL ROLL maska Elegant II 1,7 m strieborná</v>
      </c>
      <c r="C1269" s="209" t="e">
        <f t="shared" si="49"/>
        <v>#N/A</v>
      </c>
      <c r="D1269" t="s">
        <v>5018</v>
      </c>
      <c r="E1269" t="s">
        <v>6332</v>
      </c>
      <c r="F1269" t="s">
        <v>6958</v>
      </c>
      <c r="G1269" t="s">
        <v>7501</v>
      </c>
      <c r="H1269" s="214">
        <v>0</v>
      </c>
      <c r="I1269" s="425" t="e">
        <v>#N/A</v>
      </c>
      <c r="J1269" s="91">
        <v>0</v>
      </c>
      <c r="K1269" s="425">
        <v>0</v>
      </c>
      <c r="L1269" s="542" t="s">
        <v>622</v>
      </c>
    </row>
    <row r="1270" spans="1:12" ht="15">
      <c r="A1270">
        <v>392153</v>
      </c>
      <c r="B1270" t="e">
        <f t="shared" si="48"/>
        <v>#N/A</v>
      </c>
      <c r="C1270" s="209" t="e">
        <f t="shared" si="49"/>
        <v>#N/A</v>
      </c>
      <c r="D1270" t="s">
        <v>5019</v>
      </c>
      <c r="E1270" t="e">
        <v>#N/A</v>
      </c>
      <c r="F1270" t="e">
        <v>#N/A</v>
      </c>
      <c r="G1270" t="e">
        <v>#N/A</v>
      </c>
      <c r="H1270" s="214">
        <v>283.13670000000002</v>
      </c>
      <c r="I1270" s="425" t="e">
        <v>#N/A</v>
      </c>
      <c r="J1270" s="91">
        <v>52.876249999999999</v>
      </c>
      <c r="K1270" s="425">
        <v>4134.7441799999997</v>
      </c>
      <c r="L1270" s="542" t="s">
        <v>622</v>
      </c>
    </row>
    <row r="1271" spans="1:12" ht="15">
      <c r="A1271">
        <v>392154</v>
      </c>
      <c r="B1271" t="e">
        <f t="shared" si="48"/>
        <v>#N/A</v>
      </c>
      <c r="C1271" s="209" t="e">
        <f t="shared" si="49"/>
        <v>#N/A</v>
      </c>
      <c r="D1271" t="s">
        <v>5020</v>
      </c>
      <c r="E1271" t="e">
        <v>#N/A</v>
      </c>
      <c r="F1271" t="e">
        <v>#N/A</v>
      </c>
      <c r="G1271" t="e">
        <v>#N/A</v>
      </c>
      <c r="H1271" s="214">
        <v>88.985820000000004</v>
      </c>
      <c r="I1271" s="425" t="e">
        <v>#N/A</v>
      </c>
      <c r="J1271" s="91">
        <v>16.61824</v>
      </c>
      <c r="K1271" s="425">
        <v>1299.4910299999999</v>
      </c>
      <c r="L1271" s="542" t="s">
        <v>622</v>
      </c>
    </row>
    <row r="1272" spans="1:12" ht="15">
      <c r="A1272">
        <v>392155</v>
      </c>
      <c r="B1272" t="e">
        <f t="shared" si="48"/>
        <v>#N/A</v>
      </c>
      <c r="C1272" s="209" t="e">
        <f t="shared" si="49"/>
        <v>#N/A</v>
      </c>
      <c r="D1272" t="s">
        <v>5021</v>
      </c>
      <c r="E1272" t="e">
        <v>#N/A</v>
      </c>
      <c r="F1272" t="e">
        <v>#N/A</v>
      </c>
      <c r="G1272" t="e">
        <v>#N/A</v>
      </c>
      <c r="H1272" s="214">
        <v>396.39138000000003</v>
      </c>
      <c r="I1272" s="425" t="e">
        <v>#N/A</v>
      </c>
      <c r="J1272" s="91">
        <v>74.026740000000004</v>
      </c>
      <c r="K1272" s="425">
        <v>5788.64185</v>
      </c>
      <c r="L1272" s="542" t="s">
        <v>622</v>
      </c>
    </row>
    <row r="1273" spans="1:12" ht="15">
      <c r="A1273">
        <v>392156</v>
      </c>
      <c r="B1273" t="e">
        <f t="shared" si="48"/>
        <v>#N/A</v>
      </c>
      <c r="C1273" s="209" t="e">
        <f t="shared" si="49"/>
        <v>#N/A</v>
      </c>
      <c r="D1273" t="s">
        <v>5022</v>
      </c>
      <c r="E1273" t="e">
        <v>#N/A</v>
      </c>
      <c r="F1273" t="e">
        <v>#N/A</v>
      </c>
      <c r="G1273" t="e">
        <v>#N/A</v>
      </c>
      <c r="H1273" s="214">
        <v>355.94328000000002</v>
      </c>
      <c r="I1273" s="425" t="e">
        <v>#N/A</v>
      </c>
      <c r="J1273" s="91">
        <v>66.472989999999996</v>
      </c>
      <c r="K1273" s="425">
        <v>5197.9641000000001</v>
      </c>
      <c r="L1273" s="542" t="s">
        <v>622</v>
      </c>
    </row>
    <row r="1274" spans="1:12" ht="15">
      <c r="A1274">
        <v>392157</v>
      </c>
      <c r="B1274" t="e">
        <f t="shared" si="48"/>
        <v>#N/A</v>
      </c>
      <c r="C1274" s="209" t="e">
        <f t="shared" si="49"/>
        <v>#N/A</v>
      </c>
      <c r="D1274" t="s">
        <v>5023</v>
      </c>
      <c r="E1274" t="e">
        <v>#N/A</v>
      </c>
      <c r="F1274" t="e">
        <v>#N/A</v>
      </c>
      <c r="G1274" t="e">
        <v>#N/A</v>
      </c>
      <c r="H1274" s="214">
        <v>501.55644000000001</v>
      </c>
      <c r="I1274" s="425" t="e">
        <v>#N/A</v>
      </c>
      <c r="J1274" s="91">
        <v>93.666480000000007</v>
      </c>
      <c r="K1274" s="425">
        <v>7324.4039599999996</v>
      </c>
      <c r="L1274" s="542" t="s">
        <v>622</v>
      </c>
    </row>
    <row r="1275" spans="1:12" ht="15">
      <c r="A1275">
        <v>392649</v>
      </c>
      <c r="B1275" t="e">
        <f t="shared" si="48"/>
        <v>#N/A</v>
      </c>
      <c r="C1275" s="209" t="e">
        <f t="shared" si="49"/>
        <v>#N/A</v>
      </c>
      <c r="D1275" t="s">
        <v>5024</v>
      </c>
      <c r="E1275" t="e">
        <v>#N/A</v>
      </c>
      <c r="F1275" t="e">
        <v>#N/A</v>
      </c>
      <c r="G1275" t="e">
        <v>#N/A</v>
      </c>
      <c r="H1275" s="214">
        <v>18.623670000000001</v>
      </c>
      <c r="I1275" s="425" t="e">
        <v>#N/A</v>
      </c>
      <c r="J1275" s="91">
        <v>2.9933000000000001</v>
      </c>
      <c r="K1275" s="425">
        <v>246.36170999999999</v>
      </c>
      <c r="L1275" s="542" t="s">
        <v>1025</v>
      </c>
    </row>
    <row r="1276" spans="1:12" ht="15">
      <c r="A1276">
        <v>392650</v>
      </c>
      <c r="B1276" t="e">
        <f t="shared" si="48"/>
        <v>#N/A</v>
      </c>
      <c r="C1276" s="209" t="e">
        <f t="shared" si="49"/>
        <v>#N/A</v>
      </c>
      <c r="D1276" t="s">
        <v>5025</v>
      </c>
      <c r="E1276" t="e">
        <v>#N/A</v>
      </c>
      <c r="F1276" t="e">
        <v>#N/A</v>
      </c>
      <c r="G1276" t="e">
        <v>#N/A</v>
      </c>
      <c r="H1276" s="214">
        <v>16.474789999999999</v>
      </c>
      <c r="I1276" s="425" t="e">
        <v>#N/A</v>
      </c>
      <c r="J1276" s="91">
        <v>2.6479300000000001</v>
      </c>
      <c r="K1276" s="425">
        <v>217.93529000000001</v>
      </c>
      <c r="L1276" s="542" t="s">
        <v>1025</v>
      </c>
    </row>
    <row r="1277" spans="1:12" ht="15">
      <c r="A1277">
        <v>393162</v>
      </c>
      <c r="B1277" t="str">
        <f t="shared" si="48"/>
        <v/>
      </c>
      <c r="C1277" s="209" t="e">
        <f t="shared" si="49"/>
        <v>#N/A</v>
      </c>
      <c r="D1277" t="s">
        <v>5026</v>
      </c>
      <c r="E1277" t="s">
        <v>6333</v>
      </c>
      <c r="F1277" t="s">
        <v>84</v>
      </c>
      <c r="G1277" t="s">
        <v>7502</v>
      </c>
      <c r="H1277" s="214">
        <v>1271.3103599999999</v>
      </c>
      <c r="I1277" s="425" t="e">
        <v>#N/A</v>
      </c>
      <c r="J1277" s="91">
        <v>157.49672000000001</v>
      </c>
      <c r="K1277" s="425">
        <v>13707.232040000001</v>
      </c>
      <c r="L1277" s="542" t="s">
        <v>622</v>
      </c>
    </row>
    <row r="1278" spans="1:12" ht="15">
      <c r="A1278">
        <v>320750</v>
      </c>
      <c r="B1278" t="e">
        <f t="shared" si="48"/>
        <v>#N/A</v>
      </c>
      <c r="C1278" s="209" t="e">
        <f t="shared" si="49"/>
        <v>#N/A</v>
      </c>
      <c r="D1278" t="s">
        <v>5027</v>
      </c>
      <c r="E1278" t="e">
        <v>#N/A</v>
      </c>
      <c r="F1278" t="e">
        <v>#N/A</v>
      </c>
      <c r="G1278" t="e">
        <v>#N/A</v>
      </c>
      <c r="H1278" s="214">
        <v>780.62400000000002</v>
      </c>
      <c r="I1278" s="425" t="e">
        <v>#N/A</v>
      </c>
      <c r="J1278" s="91">
        <v>133.67225999999999</v>
      </c>
      <c r="K1278" s="425">
        <v>10757.11087</v>
      </c>
      <c r="L1278" s="542" t="s">
        <v>621</v>
      </c>
    </row>
    <row r="1279" spans="1:12" ht="15">
      <c r="A1279">
        <v>320753</v>
      </c>
      <c r="B1279" t="e">
        <f t="shared" si="48"/>
        <v>#N/A</v>
      </c>
      <c r="C1279" s="209" t="e">
        <f t="shared" si="49"/>
        <v>#N/A</v>
      </c>
      <c r="D1279" t="s">
        <v>5028</v>
      </c>
      <c r="E1279" t="e">
        <v>#N/A</v>
      </c>
      <c r="F1279" t="e">
        <v>#N/A</v>
      </c>
      <c r="G1279" t="e">
        <v>#N/A</v>
      </c>
      <c r="H1279" s="214">
        <v>507.495</v>
      </c>
      <c r="I1279" s="425" t="e">
        <v>#N/A</v>
      </c>
      <c r="J1279" s="91">
        <v>86.902289999999994</v>
      </c>
      <c r="K1279" s="425">
        <v>6993.3508499999998</v>
      </c>
      <c r="L1279" s="542" t="s">
        <v>621</v>
      </c>
    </row>
    <row r="1280" spans="1:12" ht="15">
      <c r="A1280">
        <v>415648</v>
      </c>
      <c r="B1280" t="e">
        <f t="shared" si="48"/>
        <v>#N/A</v>
      </c>
      <c r="C1280" s="209" t="e">
        <f t="shared" si="49"/>
        <v>#N/A</v>
      </c>
      <c r="D1280" t="s">
        <v>5029</v>
      </c>
      <c r="E1280" t="e">
        <v>#N/A</v>
      </c>
      <c r="F1280" t="e">
        <v>#N/A</v>
      </c>
      <c r="G1280" t="e">
        <v>#N/A</v>
      </c>
      <c r="H1280" s="214">
        <v>288.23039999999997</v>
      </c>
      <c r="I1280" s="425" t="e">
        <v>#N/A</v>
      </c>
      <c r="J1280" s="91">
        <v>49.355919999999998</v>
      </c>
      <c r="K1280" s="425">
        <v>3971.8563399999998</v>
      </c>
      <c r="L1280" s="542" t="s">
        <v>621</v>
      </c>
    </row>
    <row r="1281" spans="1:12" ht="15">
      <c r="A1281">
        <v>415751</v>
      </c>
      <c r="B1281" t="e">
        <f t="shared" si="48"/>
        <v>#N/A</v>
      </c>
      <c r="C1281" s="209" t="e">
        <f t="shared" si="49"/>
        <v>#N/A</v>
      </c>
      <c r="D1281" t="s">
        <v>5030</v>
      </c>
      <c r="E1281" t="e">
        <v>#N/A</v>
      </c>
      <c r="F1281" t="e">
        <v>#N/A</v>
      </c>
      <c r="G1281" t="e">
        <v>#N/A</v>
      </c>
      <c r="H1281" s="214">
        <v>288.23039999999997</v>
      </c>
      <c r="I1281" s="425" t="e">
        <v>#N/A</v>
      </c>
      <c r="J1281" s="91">
        <v>49.355919999999998</v>
      </c>
      <c r="K1281" s="425">
        <v>3971.8563399999998</v>
      </c>
      <c r="L1281" s="542" t="s">
        <v>621</v>
      </c>
    </row>
    <row r="1282" spans="1:12" ht="15">
      <c r="A1282">
        <v>415752</v>
      </c>
      <c r="B1282" t="e">
        <f t="shared" si="48"/>
        <v>#N/A</v>
      </c>
      <c r="C1282" s="209" t="e">
        <f t="shared" si="49"/>
        <v>#N/A</v>
      </c>
      <c r="D1282" t="s">
        <v>5031</v>
      </c>
      <c r="E1282" t="e">
        <v>#N/A</v>
      </c>
      <c r="F1282" t="e">
        <v>#N/A</v>
      </c>
      <c r="G1282" t="e">
        <v>#N/A</v>
      </c>
      <c r="H1282" s="214">
        <v>288.23039999999997</v>
      </c>
      <c r="I1282" s="425" t="e">
        <v>#N/A</v>
      </c>
      <c r="J1282" s="91">
        <v>49.355919999999998</v>
      </c>
      <c r="K1282" s="425">
        <v>3971.8563399999998</v>
      </c>
      <c r="L1282" s="542" t="s">
        <v>621</v>
      </c>
    </row>
    <row r="1283" spans="1:12" ht="15">
      <c r="A1283">
        <v>416530</v>
      </c>
      <c r="B1283" t="e">
        <f t="shared" si="48"/>
        <v>#N/A</v>
      </c>
      <c r="C1283" s="209" t="e">
        <f t="shared" si="49"/>
        <v>#N/A</v>
      </c>
      <c r="D1283" t="s">
        <v>5032</v>
      </c>
      <c r="E1283" t="e">
        <v>#N/A</v>
      </c>
      <c r="F1283" t="e">
        <v>#N/A</v>
      </c>
      <c r="G1283" t="e">
        <v>#N/A</v>
      </c>
      <c r="H1283" s="214">
        <v>311.17385999999999</v>
      </c>
      <c r="I1283" s="425" t="e">
        <v>#N/A</v>
      </c>
      <c r="J1283" s="91">
        <v>69.596590000000006</v>
      </c>
      <c r="K1283" s="425">
        <v>5562.8535899999997</v>
      </c>
      <c r="L1283" s="542" t="s">
        <v>622</v>
      </c>
    </row>
    <row r="1284" spans="1:12" ht="15">
      <c r="A1284">
        <v>144095</v>
      </c>
      <c r="B1284" t="e">
        <f t="shared" si="48"/>
        <v>#N/A</v>
      </c>
      <c r="C1284" s="209" t="e">
        <f t="shared" si="49"/>
        <v>#N/A</v>
      </c>
      <c r="D1284" t="s">
        <v>5033</v>
      </c>
      <c r="E1284" t="e">
        <v>#N/A</v>
      </c>
      <c r="F1284" t="e">
        <v>#N/A</v>
      </c>
      <c r="G1284" t="e">
        <v>#N/A</v>
      </c>
      <c r="H1284" s="214">
        <v>516.25762999999995</v>
      </c>
      <c r="I1284" s="425" t="e">
        <v>#N/A</v>
      </c>
      <c r="J1284" s="91">
        <v>96.217119999999994</v>
      </c>
      <c r="K1284" s="425">
        <v>7758.7168499999998</v>
      </c>
      <c r="L1284" s="542" t="s">
        <v>622</v>
      </c>
    </row>
    <row r="1285" spans="1:12" ht="15">
      <c r="A1285">
        <v>144096</v>
      </c>
      <c r="B1285" t="e">
        <f t="shared" si="48"/>
        <v>#N/A</v>
      </c>
      <c r="C1285" s="209" t="e">
        <f t="shared" si="49"/>
        <v>#N/A</v>
      </c>
      <c r="D1285" t="s">
        <v>5034</v>
      </c>
      <c r="E1285" t="e">
        <v>#N/A</v>
      </c>
      <c r="F1285" t="e">
        <v>#N/A</v>
      </c>
      <c r="G1285" t="e">
        <v>#N/A</v>
      </c>
      <c r="H1285" s="214">
        <v>405.3</v>
      </c>
      <c r="I1285" s="425" t="e">
        <v>#N/A</v>
      </c>
      <c r="J1285" s="91">
        <v>0</v>
      </c>
      <c r="K1285" s="425">
        <v>0</v>
      </c>
      <c r="L1285" s="542" t="s">
        <v>622</v>
      </c>
    </row>
    <row r="1286" spans="1:12" ht="15">
      <c r="A1286">
        <v>352014</v>
      </c>
      <c r="B1286" t="e">
        <f t="shared" si="48"/>
        <v>#N/A</v>
      </c>
      <c r="C1286" s="209" t="e">
        <f t="shared" si="49"/>
        <v>#N/A</v>
      </c>
      <c r="D1286" t="s">
        <v>5035</v>
      </c>
      <c r="E1286" t="e">
        <v>#N/A</v>
      </c>
      <c r="F1286" t="e">
        <v>#N/A</v>
      </c>
      <c r="G1286" t="e">
        <v>#N/A</v>
      </c>
      <c r="H1286" s="214">
        <v>21511.270260000001</v>
      </c>
      <c r="I1286" s="425" t="e">
        <v>#N/A</v>
      </c>
      <c r="J1286" s="91">
        <v>3700.4844199999998</v>
      </c>
      <c r="K1286" s="425">
        <v>313076.05047999998</v>
      </c>
      <c r="L1286" s="542" t="s">
        <v>622</v>
      </c>
    </row>
    <row r="1287" spans="1:12" ht="15">
      <c r="A1287">
        <v>352015</v>
      </c>
      <c r="B1287" t="e">
        <f t="shared" si="48"/>
        <v>#N/A</v>
      </c>
      <c r="C1287" s="209" t="e">
        <f t="shared" si="49"/>
        <v>#N/A</v>
      </c>
      <c r="D1287" t="s">
        <v>5036</v>
      </c>
      <c r="E1287" t="e">
        <v>#N/A</v>
      </c>
      <c r="F1287" t="e">
        <v>#N/A</v>
      </c>
      <c r="G1287" t="e">
        <v>#N/A</v>
      </c>
      <c r="H1287" s="214">
        <v>21878.41374</v>
      </c>
      <c r="I1287" s="425" t="e">
        <v>#N/A</v>
      </c>
      <c r="J1287" s="91">
        <v>3763.6424200000001</v>
      </c>
      <c r="K1287" s="425">
        <v>318419.47408000001</v>
      </c>
      <c r="L1287" s="542" t="s">
        <v>622</v>
      </c>
    </row>
    <row r="1288" spans="1:12" ht="15">
      <c r="A1288">
        <v>352016</v>
      </c>
      <c r="B1288" t="e">
        <f t="shared" si="48"/>
        <v>#N/A</v>
      </c>
      <c r="C1288" s="209" t="e">
        <f t="shared" si="49"/>
        <v>#N/A</v>
      </c>
      <c r="D1288" t="s">
        <v>5037</v>
      </c>
      <c r="E1288" t="e">
        <v>#N/A</v>
      </c>
      <c r="F1288" t="e">
        <v>#N/A</v>
      </c>
      <c r="G1288" t="e">
        <v>#N/A</v>
      </c>
      <c r="H1288" s="214">
        <v>22245.557219999999</v>
      </c>
      <c r="I1288" s="425" t="e">
        <v>#N/A</v>
      </c>
      <c r="J1288" s="91">
        <v>3826.8004099999998</v>
      </c>
      <c r="K1288" s="425">
        <v>323762.89769999997</v>
      </c>
      <c r="L1288" s="542" t="s">
        <v>622</v>
      </c>
    </row>
    <row r="1289" spans="1:12" ht="15">
      <c r="A1289">
        <v>352017</v>
      </c>
      <c r="B1289" t="e">
        <f t="shared" si="48"/>
        <v>#N/A</v>
      </c>
      <c r="C1289" s="209" t="e">
        <f t="shared" si="49"/>
        <v>#N/A</v>
      </c>
      <c r="D1289" t="s">
        <v>5038</v>
      </c>
      <c r="E1289" t="e">
        <v>#N/A</v>
      </c>
      <c r="F1289" t="e">
        <v>#N/A</v>
      </c>
      <c r="G1289" t="e">
        <v>#N/A</v>
      </c>
      <c r="H1289" s="214">
        <v>23336.97466</v>
      </c>
      <c r="I1289" s="425" t="e">
        <v>#N/A</v>
      </c>
      <c r="J1289" s="91">
        <v>4014.5519100000001</v>
      </c>
      <c r="K1289" s="425">
        <v>339647.43894999998</v>
      </c>
      <c r="L1289" s="542" t="s">
        <v>622</v>
      </c>
    </row>
    <row r="1290" spans="1:12" ht="15">
      <c r="A1290">
        <v>352018</v>
      </c>
      <c r="B1290" t="e">
        <f t="shared" si="48"/>
        <v>#N/A</v>
      </c>
      <c r="C1290" s="209" t="e">
        <f t="shared" si="49"/>
        <v>#N/A</v>
      </c>
      <c r="D1290" t="s">
        <v>5039</v>
      </c>
      <c r="E1290" t="e">
        <v>#N/A</v>
      </c>
      <c r="F1290" t="e">
        <v>#N/A</v>
      </c>
      <c r="G1290" t="e">
        <v>#N/A</v>
      </c>
      <c r="H1290" s="214">
        <v>23704.118139999999</v>
      </c>
      <c r="I1290" s="425" t="e">
        <v>#N/A</v>
      </c>
      <c r="J1290" s="91">
        <v>4077.70991</v>
      </c>
      <c r="K1290" s="425">
        <v>344990.86284999998</v>
      </c>
      <c r="L1290" s="542" t="s">
        <v>622</v>
      </c>
    </row>
    <row r="1291" spans="1:12" ht="15">
      <c r="A1291">
        <v>352019</v>
      </c>
      <c r="B1291" t="e">
        <f t="shared" si="48"/>
        <v>#N/A</v>
      </c>
      <c r="C1291" s="209" t="e">
        <f t="shared" si="49"/>
        <v>#N/A</v>
      </c>
      <c r="D1291" t="s">
        <v>5040</v>
      </c>
      <c r="E1291" t="e">
        <v>#N/A</v>
      </c>
      <c r="F1291" t="e">
        <v>#N/A</v>
      </c>
      <c r="G1291" t="e">
        <v>#N/A</v>
      </c>
      <c r="H1291" s="214">
        <v>24067.92395</v>
      </c>
      <c r="I1291" s="425" t="e">
        <v>#N/A</v>
      </c>
      <c r="J1291" s="91">
        <v>4140.2937300000003</v>
      </c>
      <c r="K1291" s="425">
        <v>350285.70973</v>
      </c>
      <c r="L1291" s="542" t="s">
        <v>622</v>
      </c>
    </row>
    <row r="1292" spans="1:12" ht="15">
      <c r="A1292">
        <v>352021</v>
      </c>
      <c r="B1292" t="e">
        <f t="shared" si="48"/>
        <v>#N/A</v>
      </c>
      <c r="C1292" s="209" t="e">
        <f t="shared" si="49"/>
        <v>#N/A</v>
      </c>
      <c r="D1292" t="s">
        <v>5041</v>
      </c>
      <c r="E1292" t="e">
        <v>#N/A</v>
      </c>
      <c r="F1292" t="e">
        <v>#N/A</v>
      </c>
      <c r="G1292" t="e">
        <v>#N/A</v>
      </c>
      <c r="H1292" s="214">
        <v>21511.270260000001</v>
      </c>
      <c r="I1292" s="425" t="e">
        <v>#N/A</v>
      </c>
      <c r="J1292" s="91">
        <v>3700.4844199999998</v>
      </c>
      <c r="K1292" s="425">
        <v>313076.05047999998</v>
      </c>
      <c r="L1292" s="542" t="s">
        <v>622</v>
      </c>
    </row>
    <row r="1293" spans="1:12" ht="15">
      <c r="A1293">
        <v>352022</v>
      </c>
      <c r="B1293" t="e">
        <f t="shared" si="48"/>
        <v>#N/A</v>
      </c>
      <c r="C1293" s="209" t="e">
        <f t="shared" si="49"/>
        <v>#N/A</v>
      </c>
      <c r="D1293" t="s">
        <v>5042</v>
      </c>
      <c r="E1293" t="e">
        <v>#N/A</v>
      </c>
      <c r="F1293" t="e">
        <v>#N/A</v>
      </c>
      <c r="G1293" t="e">
        <v>#N/A</v>
      </c>
      <c r="H1293" s="214">
        <v>21878.41374</v>
      </c>
      <c r="I1293" s="425" t="e">
        <v>#N/A</v>
      </c>
      <c r="J1293" s="91">
        <v>3763.6424200000001</v>
      </c>
      <c r="K1293" s="425">
        <v>318419.47408000001</v>
      </c>
      <c r="L1293" s="542" t="s">
        <v>622</v>
      </c>
    </row>
    <row r="1294" spans="1:12" ht="15">
      <c r="A1294">
        <v>352025</v>
      </c>
      <c r="B1294" t="e">
        <f t="shared" si="48"/>
        <v>#N/A</v>
      </c>
      <c r="C1294" s="209" t="e">
        <f t="shared" si="49"/>
        <v>#N/A</v>
      </c>
      <c r="D1294" t="s">
        <v>5043</v>
      </c>
      <c r="E1294" t="e">
        <v>#N/A</v>
      </c>
      <c r="F1294" t="e">
        <v>#N/A</v>
      </c>
      <c r="G1294" t="e">
        <v>#N/A</v>
      </c>
      <c r="H1294" s="214">
        <v>23704.118139999999</v>
      </c>
      <c r="I1294" s="425" t="e">
        <v>#N/A</v>
      </c>
      <c r="J1294" s="91">
        <v>4077.70991</v>
      </c>
      <c r="K1294" s="425">
        <v>344990.86284999998</v>
      </c>
      <c r="L1294" s="542" t="s">
        <v>622</v>
      </c>
    </row>
    <row r="1295" spans="1:12" ht="15">
      <c r="A1295">
        <v>352026</v>
      </c>
      <c r="B1295" t="e">
        <f t="shared" si="48"/>
        <v>#N/A</v>
      </c>
      <c r="C1295" s="209" t="e">
        <f t="shared" si="49"/>
        <v>#N/A</v>
      </c>
      <c r="D1295" t="s">
        <v>5044</v>
      </c>
      <c r="E1295" t="e">
        <v>#N/A</v>
      </c>
      <c r="F1295" t="e">
        <v>#N/A</v>
      </c>
      <c r="G1295" t="e">
        <v>#N/A</v>
      </c>
      <c r="H1295" s="214">
        <v>24067.92395</v>
      </c>
      <c r="I1295" s="425" t="e">
        <v>#N/A</v>
      </c>
      <c r="J1295" s="91">
        <v>4140.2937300000003</v>
      </c>
      <c r="K1295" s="425">
        <v>350285.70973</v>
      </c>
      <c r="L1295" s="542" t="s">
        <v>622</v>
      </c>
    </row>
    <row r="1296" spans="1:12" ht="15">
      <c r="A1296">
        <v>352029</v>
      </c>
      <c r="B1296" t="e">
        <f t="shared" si="48"/>
        <v>#N/A</v>
      </c>
      <c r="C1296" s="209" t="e">
        <f t="shared" si="49"/>
        <v>#N/A</v>
      </c>
      <c r="D1296" t="s">
        <v>5045</v>
      </c>
      <c r="E1296" t="e">
        <v>#N/A</v>
      </c>
      <c r="F1296" t="e">
        <v>#N/A</v>
      </c>
      <c r="G1296" t="e">
        <v>#N/A</v>
      </c>
      <c r="H1296" s="214">
        <v>19451.929100000001</v>
      </c>
      <c r="I1296" s="425" t="e">
        <v>#N/A</v>
      </c>
      <c r="J1296" s="91">
        <v>3346.2254699999999</v>
      </c>
      <c r="K1296" s="425">
        <v>283104.30141000001</v>
      </c>
      <c r="L1296" s="542" t="s">
        <v>622</v>
      </c>
    </row>
    <row r="1297" spans="1:12" ht="15">
      <c r="A1297">
        <v>352030</v>
      </c>
      <c r="B1297" t="e">
        <f t="shared" si="48"/>
        <v>#N/A</v>
      </c>
      <c r="C1297" s="209" t="e">
        <f t="shared" si="49"/>
        <v>#N/A</v>
      </c>
      <c r="D1297" t="s">
        <v>5046</v>
      </c>
      <c r="E1297" t="e">
        <v>#N/A</v>
      </c>
      <c r="F1297" t="e">
        <v>#N/A</v>
      </c>
      <c r="G1297" t="e">
        <v>#N/A</v>
      </c>
      <c r="H1297" s="214">
        <v>19769.007559999998</v>
      </c>
      <c r="I1297" s="425" t="e">
        <v>#N/A</v>
      </c>
      <c r="J1297" s="91">
        <v>3400.7710299999999</v>
      </c>
      <c r="K1297" s="425">
        <v>287719.07636000001</v>
      </c>
      <c r="L1297" s="542" t="s">
        <v>622</v>
      </c>
    </row>
    <row r="1298" spans="1:12" ht="15">
      <c r="A1298">
        <v>352031</v>
      </c>
      <c r="B1298" t="e">
        <f t="shared" si="48"/>
        <v>#N/A</v>
      </c>
      <c r="C1298" s="209" t="e">
        <f t="shared" si="49"/>
        <v>#N/A</v>
      </c>
      <c r="D1298" t="s">
        <v>5047</v>
      </c>
      <c r="E1298" t="e">
        <v>#N/A</v>
      </c>
      <c r="F1298" t="e">
        <v>#N/A</v>
      </c>
      <c r="G1298" t="e">
        <v>#N/A</v>
      </c>
      <c r="H1298" s="214">
        <v>20082.748360000001</v>
      </c>
      <c r="I1298" s="425" t="e">
        <v>#N/A</v>
      </c>
      <c r="J1298" s="91">
        <v>3454.7424000000001</v>
      </c>
      <c r="K1298" s="425">
        <v>292285.27487999998</v>
      </c>
      <c r="L1298" s="542" t="s">
        <v>622</v>
      </c>
    </row>
    <row r="1299" spans="1:12" ht="15">
      <c r="A1299">
        <v>352032</v>
      </c>
      <c r="B1299" t="e">
        <f t="shared" si="48"/>
        <v>#N/A</v>
      </c>
      <c r="C1299" s="209" t="e">
        <f t="shared" si="49"/>
        <v>#N/A</v>
      </c>
      <c r="D1299" t="s">
        <v>5048</v>
      </c>
      <c r="E1299" t="e">
        <v>#N/A</v>
      </c>
      <c r="F1299" t="e">
        <v>#N/A</v>
      </c>
      <c r="G1299" t="e">
        <v>#N/A</v>
      </c>
      <c r="H1299" s="214">
        <v>6588.55663</v>
      </c>
      <c r="I1299" s="425" t="e">
        <v>#N/A</v>
      </c>
      <c r="J1299" s="91">
        <v>1133.39895</v>
      </c>
      <c r="K1299" s="425">
        <v>95890.166649999999</v>
      </c>
      <c r="L1299" s="542" t="s">
        <v>622</v>
      </c>
    </row>
    <row r="1300" spans="1:12" ht="15">
      <c r="A1300">
        <v>352033</v>
      </c>
      <c r="B1300" t="e">
        <f t="shared" si="48"/>
        <v>#N/A</v>
      </c>
      <c r="C1300" s="209" t="e">
        <f t="shared" si="49"/>
        <v>#N/A</v>
      </c>
      <c r="D1300" t="s">
        <v>5049</v>
      </c>
      <c r="E1300" t="e">
        <v>#N/A</v>
      </c>
      <c r="F1300" t="e">
        <v>#N/A</v>
      </c>
      <c r="G1300" t="e">
        <v>#N/A</v>
      </c>
      <c r="H1300" s="214">
        <v>7529.7790100000002</v>
      </c>
      <c r="I1300" s="425" t="e">
        <v>#N/A</v>
      </c>
      <c r="J1300" s="91">
        <v>1295.3130900000001</v>
      </c>
      <c r="K1300" s="425">
        <v>109588.76191</v>
      </c>
      <c r="L1300" s="542" t="s">
        <v>622</v>
      </c>
    </row>
    <row r="1301" spans="1:12" ht="15">
      <c r="A1301">
        <v>352034</v>
      </c>
      <c r="B1301" t="e">
        <f t="shared" si="48"/>
        <v>#N/A</v>
      </c>
      <c r="C1301" s="209" t="e">
        <f t="shared" si="49"/>
        <v>#N/A</v>
      </c>
      <c r="D1301" t="s">
        <v>5050</v>
      </c>
      <c r="E1301" t="e">
        <v>#N/A</v>
      </c>
      <c r="F1301" t="e">
        <v>#N/A</v>
      </c>
      <c r="G1301" t="e">
        <v>#N/A</v>
      </c>
      <c r="H1301" s="214">
        <v>7846.8574699999999</v>
      </c>
      <c r="I1301" s="425" t="e">
        <v>#N/A</v>
      </c>
      <c r="J1301" s="91">
        <v>1349.8586299999999</v>
      </c>
      <c r="K1301" s="425">
        <v>114203.53685999999</v>
      </c>
      <c r="L1301" s="542" t="s">
        <v>622</v>
      </c>
    </row>
    <row r="1302" spans="1:12" ht="15">
      <c r="A1302">
        <v>227762</v>
      </c>
      <c r="B1302" t="e">
        <f t="shared" si="48"/>
        <v>#N/A</v>
      </c>
      <c r="C1302" s="209" t="e">
        <f t="shared" si="49"/>
        <v>#N/A</v>
      </c>
      <c r="D1302" t="s">
        <v>5051</v>
      </c>
      <c r="E1302" t="e">
        <v>#N/A</v>
      </c>
      <c r="F1302" t="e">
        <v>#N/A</v>
      </c>
      <c r="G1302" t="e">
        <v>#N/A</v>
      </c>
      <c r="H1302" s="214">
        <v>399.875</v>
      </c>
      <c r="I1302" s="425" t="e">
        <v>#N/A</v>
      </c>
      <c r="J1302" s="91">
        <v>90.158779999999993</v>
      </c>
      <c r="K1302" s="425">
        <v>7685.0895200000004</v>
      </c>
      <c r="L1302" s="542" t="s">
        <v>622</v>
      </c>
    </row>
    <row r="1303" spans="1:12" ht="15">
      <c r="A1303">
        <v>227765</v>
      </c>
      <c r="B1303" t="e">
        <f t="shared" si="48"/>
        <v>#N/A</v>
      </c>
      <c r="C1303" s="209" t="e">
        <f t="shared" si="49"/>
        <v>#N/A</v>
      </c>
      <c r="D1303" t="s">
        <v>5052</v>
      </c>
      <c r="E1303" t="e">
        <v>#N/A</v>
      </c>
      <c r="F1303" t="e">
        <v>#N/A</v>
      </c>
      <c r="G1303" t="e">
        <v>#N/A</v>
      </c>
      <c r="H1303" s="214">
        <v>155.75</v>
      </c>
      <c r="I1303" s="425" t="e">
        <v>#N/A</v>
      </c>
      <c r="J1303" s="91">
        <v>35.116549999999997</v>
      </c>
      <c r="K1303" s="425">
        <v>2993.31709</v>
      </c>
      <c r="L1303" s="542" t="s">
        <v>622</v>
      </c>
    </row>
    <row r="1304" spans="1:12" ht="15">
      <c r="A1304">
        <v>227803</v>
      </c>
      <c r="B1304" t="e">
        <f t="shared" ref="B1304:B1347" si="50">IF($A$2=1,D1304,IF($A$2=2,F1304,IF($A$2=3,G1304,IF($A$2=4,E1304,"zadat jazyk"))))</f>
        <v>#N/A</v>
      </c>
      <c r="C1304" s="209" t="e">
        <f t="shared" ref="C1304:C1347" si="51">IF($A$2=1,H1304,IF($A$2=2,I1304,IF($A$2=3,J1304,IF($A$2=4,K1304,"zadat jazyk"))))</f>
        <v>#N/A</v>
      </c>
      <c r="D1304" t="s">
        <v>5053</v>
      </c>
      <c r="E1304" t="e">
        <v>#N/A</v>
      </c>
      <c r="F1304" t="e">
        <v>#N/A</v>
      </c>
      <c r="G1304" t="e">
        <v>#N/A</v>
      </c>
      <c r="H1304" s="214">
        <v>358.75</v>
      </c>
      <c r="I1304" s="425" t="e">
        <v>#N/A</v>
      </c>
      <c r="J1304" s="91">
        <v>80.886430000000004</v>
      </c>
      <c r="K1304" s="425">
        <v>6894.7191400000002</v>
      </c>
      <c r="L1304" s="542" t="s">
        <v>622</v>
      </c>
    </row>
    <row r="1305" spans="1:12" ht="15">
      <c r="A1305">
        <v>227804</v>
      </c>
      <c r="B1305" t="e">
        <f t="shared" si="50"/>
        <v>#N/A</v>
      </c>
      <c r="C1305" s="209" t="e">
        <f t="shared" si="51"/>
        <v>#N/A</v>
      </c>
      <c r="D1305" t="s">
        <v>5054</v>
      </c>
      <c r="E1305" t="e">
        <v>#N/A</v>
      </c>
      <c r="F1305" t="e">
        <v>#N/A</v>
      </c>
      <c r="G1305" t="e">
        <v>#N/A</v>
      </c>
      <c r="H1305" s="214">
        <v>144.375</v>
      </c>
      <c r="I1305" s="425" t="e">
        <v>#N/A</v>
      </c>
      <c r="J1305" s="91">
        <v>32.551850000000002</v>
      </c>
      <c r="K1305" s="425">
        <v>2774.7041899999999</v>
      </c>
      <c r="L1305" s="542" t="s">
        <v>622</v>
      </c>
    </row>
    <row r="1306" spans="1:12" ht="15">
      <c r="A1306">
        <v>227805</v>
      </c>
      <c r="B1306" t="e">
        <f t="shared" si="50"/>
        <v>#N/A</v>
      </c>
      <c r="C1306" s="209" t="e">
        <f t="shared" si="51"/>
        <v>#N/A</v>
      </c>
      <c r="D1306" t="s">
        <v>5055</v>
      </c>
      <c r="E1306" t="e">
        <v>#N/A</v>
      </c>
      <c r="F1306" t="e">
        <v>#N/A</v>
      </c>
      <c r="G1306" t="e">
        <v>#N/A</v>
      </c>
      <c r="H1306" s="214">
        <v>212.625</v>
      </c>
      <c r="I1306" s="425" t="e">
        <v>#N/A</v>
      </c>
      <c r="J1306" s="91">
        <v>47.940010000000001</v>
      </c>
      <c r="K1306" s="425">
        <v>4086.3824599999998</v>
      </c>
      <c r="L1306" s="542" t="s">
        <v>622</v>
      </c>
    </row>
    <row r="1307" spans="1:12" ht="15">
      <c r="A1307">
        <v>227806</v>
      </c>
      <c r="B1307" t="e">
        <f t="shared" si="50"/>
        <v>#N/A</v>
      </c>
      <c r="C1307" s="209" t="e">
        <f t="shared" si="51"/>
        <v>#N/A</v>
      </c>
      <c r="D1307" t="s">
        <v>5056</v>
      </c>
      <c r="E1307" t="e">
        <v>#N/A</v>
      </c>
      <c r="F1307" t="e">
        <v>#N/A</v>
      </c>
      <c r="G1307" t="e">
        <v>#N/A</v>
      </c>
      <c r="H1307" s="214">
        <v>322.875</v>
      </c>
      <c r="I1307" s="425" t="e">
        <v>#N/A</v>
      </c>
      <c r="J1307" s="91">
        <v>72.797799999999995</v>
      </c>
      <c r="K1307" s="425">
        <v>6205.24737</v>
      </c>
      <c r="L1307" s="542" t="s">
        <v>622</v>
      </c>
    </row>
    <row r="1308" spans="1:12" ht="15">
      <c r="A1308">
        <v>227807</v>
      </c>
      <c r="B1308" t="e">
        <f t="shared" si="50"/>
        <v>#N/A</v>
      </c>
      <c r="C1308" s="209" t="e">
        <f t="shared" si="51"/>
        <v>#N/A</v>
      </c>
      <c r="D1308" t="s">
        <v>5057</v>
      </c>
      <c r="E1308" t="e">
        <v>#N/A</v>
      </c>
      <c r="F1308" t="e">
        <v>#N/A</v>
      </c>
      <c r="G1308" t="e">
        <v>#N/A</v>
      </c>
      <c r="H1308" s="214">
        <v>300.125</v>
      </c>
      <c r="I1308" s="425" t="e">
        <v>#N/A</v>
      </c>
      <c r="J1308" s="91">
        <v>67.668400000000005</v>
      </c>
      <c r="K1308" s="425">
        <v>5768.0212799999999</v>
      </c>
      <c r="L1308" s="542" t="s">
        <v>622</v>
      </c>
    </row>
    <row r="1309" spans="1:12" ht="15">
      <c r="A1309">
        <v>227808</v>
      </c>
      <c r="B1309" t="e">
        <f t="shared" si="50"/>
        <v>#N/A</v>
      </c>
      <c r="C1309" s="209" t="e">
        <f t="shared" si="51"/>
        <v>#N/A</v>
      </c>
      <c r="D1309" t="s">
        <v>5058</v>
      </c>
      <c r="E1309" t="e">
        <v>#N/A</v>
      </c>
      <c r="F1309" t="e">
        <v>#N/A</v>
      </c>
      <c r="G1309" t="e">
        <v>#N/A</v>
      </c>
      <c r="H1309" s="214">
        <v>441.875</v>
      </c>
      <c r="I1309" s="425" t="e">
        <v>#N/A</v>
      </c>
      <c r="J1309" s="91">
        <v>99.628410000000002</v>
      </c>
      <c r="K1309" s="425">
        <v>8492.2761399999999</v>
      </c>
      <c r="L1309" s="542" t="s">
        <v>622</v>
      </c>
    </row>
    <row r="1310" spans="1:12" ht="15">
      <c r="A1310">
        <v>227809</v>
      </c>
      <c r="B1310" t="e">
        <f t="shared" si="50"/>
        <v>#N/A</v>
      </c>
      <c r="C1310" s="209" t="e">
        <f t="shared" si="51"/>
        <v>#N/A</v>
      </c>
      <c r="D1310" t="s">
        <v>5059</v>
      </c>
      <c r="E1310" t="e">
        <v>#N/A</v>
      </c>
      <c r="F1310" t="e">
        <v>#N/A</v>
      </c>
      <c r="G1310" t="e">
        <v>#N/A</v>
      </c>
      <c r="H1310" s="214">
        <v>669.375</v>
      </c>
      <c r="I1310" s="425" t="e">
        <v>#N/A</v>
      </c>
      <c r="J1310" s="91">
        <v>150.92224999999999</v>
      </c>
      <c r="K1310" s="425">
        <v>12864.537060000001</v>
      </c>
      <c r="L1310" s="542" t="s">
        <v>622</v>
      </c>
    </row>
    <row r="1311" spans="1:12" ht="15">
      <c r="A1311">
        <v>227811</v>
      </c>
      <c r="B1311" t="e">
        <f t="shared" si="50"/>
        <v>#N/A</v>
      </c>
      <c r="C1311" s="209" t="e">
        <f t="shared" si="51"/>
        <v>#N/A</v>
      </c>
      <c r="D1311" t="s">
        <v>5060</v>
      </c>
      <c r="E1311" t="e">
        <v>#N/A</v>
      </c>
      <c r="F1311" t="e">
        <v>#N/A</v>
      </c>
      <c r="G1311" t="e">
        <v>#N/A</v>
      </c>
      <c r="H1311" s="214">
        <v>172.375</v>
      </c>
      <c r="I1311" s="425" t="e">
        <v>#N/A</v>
      </c>
      <c r="J1311" s="91">
        <v>38.864939999999997</v>
      </c>
      <c r="K1311" s="425">
        <v>3312.8285999999998</v>
      </c>
      <c r="L1311" s="542" t="s">
        <v>622</v>
      </c>
    </row>
    <row r="1312" spans="1:12" ht="15">
      <c r="A1312">
        <v>227812</v>
      </c>
      <c r="B1312" t="e">
        <f t="shared" si="50"/>
        <v>#N/A</v>
      </c>
      <c r="C1312" s="209" t="e">
        <f t="shared" si="51"/>
        <v>#N/A</v>
      </c>
      <c r="D1312" t="s">
        <v>5061</v>
      </c>
      <c r="E1312" t="e">
        <v>#N/A</v>
      </c>
      <c r="F1312" t="e">
        <v>#N/A</v>
      </c>
      <c r="G1312" t="e">
        <v>#N/A</v>
      </c>
      <c r="H1312" s="214">
        <v>261.625</v>
      </c>
      <c r="I1312" s="425" t="e">
        <v>#N/A</v>
      </c>
      <c r="J1312" s="91">
        <v>58.987900000000003</v>
      </c>
      <c r="K1312" s="425">
        <v>5028.1001999999999</v>
      </c>
      <c r="L1312" s="542" t="s">
        <v>622</v>
      </c>
    </row>
    <row r="1313" spans="1:12" ht="15">
      <c r="A1313">
        <v>228555</v>
      </c>
      <c r="B1313" t="e">
        <f t="shared" si="50"/>
        <v>#N/A</v>
      </c>
      <c r="C1313" s="209" t="e">
        <f t="shared" si="51"/>
        <v>#N/A</v>
      </c>
      <c r="D1313" t="s">
        <v>5062</v>
      </c>
      <c r="E1313" t="e">
        <v>#N/A</v>
      </c>
      <c r="F1313" t="e">
        <v>#N/A</v>
      </c>
      <c r="G1313" t="e">
        <v>#N/A</v>
      </c>
      <c r="H1313" s="214">
        <v>39.194220000000001</v>
      </c>
      <c r="I1313" s="425" t="e">
        <v>#N/A</v>
      </c>
      <c r="J1313" s="91">
        <v>6.2011000000000003</v>
      </c>
      <c r="K1313" s="425">
        <v>495.55407000000002</v>
      </c>
      <c r="L1313" s="542" t="s">
        <v>622</v>
      </c>
    </row>
    <row r="1314" spans="1:12" ht="15">
      <c r="A1314">
        <v>304699</v>
      </c>
      <c r="B1314" t="e">
        <f t="shared" si="50"/>
        <v>#N/A</v>
      </c>
      <c r="C1314" s="209" t="e">
        <f t="shared" si="51"/>
        <v>#N/A</v>
      </c>
      <c r="D1314" t="s">
        <v>5063</v>
      </c>
      <c r="E1314" t="e">
        <v>#N/A</v>
      </c>
      <c r="F1314" t="e">
        <v>#N/A</v>
      </c>
      <c r="G1314" t="e">
        <v>#N/A</v>
      </c>
      <c r="H1314" s="214">
        <v>1453.91236</v>
      </c>
      <c r="I1314" s="425" t="e">
        <v>#N/A</v>
      </c>
      <c r="J1314" s="91">
        <v>271.53456999999997</v>
      </c>
      <c r="K1314" s="425">
        <v>21895.893639999998</v>
      </c>
      <c r="L1314" s="542" t="s">
        <v>622</v>
      </c>
    </row>
    <row r="1315" spans="1:12" ht="15">
      <c r="A1315">
        <v>304747</v>
      </c>
      <c r="B1315" t="e">
        <f t="shared" si="50"/>
        <v>#N/A</v>
      </c>
      <c r="C1315" s="209" t="e">
        <f t="shared" si="51"/>
        <v>#N/A</v>
      </c>
      <c r="D1315" t="s">
        <v>5064</v>
      </c>
      <c r="E1315" t="e">
        <v>#N/A</v>
      </c>
      <c r="F1315" t="e">
        <v>#N/A</v>
      </c>
      <c r="G1315" t="e">
        <v>#N/A</v>
      </c>
      <c r="H1315" s="214">
        <v>478.63585</v>
      </c>
      <c r="I1315" s="425" t="e">
        <v>#N/A</v>
      </c>
      <c r="J1315" s="91">
        <v>89.386009999999999</v>
      </c>
      <c r="K1315" s="425">
        <v>6989.6865799999996</v>
      </c>
      <c r="L1315" s="542" t="s">
        <v>622</v>
      </c>
    </row>
    <row r="1316" spans="1:12" ht="15">
      <c r="A1316">
        <v>304748</v>
      </c>
      <c r="B1316" t="e">
        <f t="shared" si="50"/>
        <v>#N/A</v>
      </c>
      <c r="C1316" s="209" t="e">
        <f t="shared" si="51"/>
        <v>#N/A</v>
      </c>
      <c r="D1316" t="s">
        <v>5065</v>
      </c>
      <c r="E1316" t="e">
        <v>#N/A</v>
      </c>
      <c r="F1316" t="e">
        <v>#N/A</v>
      </c>
      <c r="G1316" t="e">
        <v>#N/A</v>
      </c>
      <c r="H1316" s="214">
        <v>594.58707000000004</v>
      </c>
      <c r="I1316" s="425" t="e">
        <v>#N/A</v>
      </c>
      <c r="J1316" s="91">
        <v>111.04009000000001</v>
      </c>
      <c r="K1316" s="425">
        <v>8682.9627600000003</v>
      </c>
      <c r="L1316" s="542" t="s">
        <v>622</v>
      </c>
    </row>
    <row r="1317" spans="1:12" ht="15">
      <c r="A1317">
        <v>304788</v>
      </c>
      <c r="B1317" t="e">
        <f t="shared" si="50"/>
        <v>#N/A</v>
      </c>
      <c r="C1317" s="209" t="e">
        <f t="shared" si="51"/>
        <v>#N/A</v>
      </c>
      <c r="D1317" t="s">
        <v>5066</v>
      </c>
      <c r="E1317" t="e">
        <v>#N/A</v>
      </c>
      <c r="F1317" t="e">
        <v>#N/A</v>
      </c>
      <c r="G1317" t="e">
        <v>#N/A</v>
      </c>
      <c r="H1317" s="214">
        <v>384.25695000000002</v>
      </c>
      <c r="I1317" s="425" t="e">
        <v>#N/A</v>
      </c>
      <c r="J1317" s="91">
        <v>71.76061</v>
      </c>
      <c r="K1317" s="425">
        <v>5611.4385199999997</v>
      </c>
      <c r="L1317" s="542" t="s">
        <v>622</v>
      </c>
    </row>
    <row r="1318" spans="1:12" ht="15">
      <c r="A1318">
        <v>304789</v>
      </c>
      <c r="B1318" t="e">
        <f t="shared" si="50"/>
        <v>#N/A</v>
      </c>
      <c r="C1318" s="209" t="e">
        <f t="shared" si="51"/>
        <v>#N/A</v>
      </c>
      <c r="D1318" t="s">
        <v>5067</v>
      </c>
      <c r="E1318" t="e">
        <v>#N/A</v>
      </c>
      <c r="F1318" t="e">
        <v>#N/A</v>
      </c>
      <c r="G1318" t="e">
        <v>#N/A</v>
      </c>
      <c r="H1318" s="214">
        <v>622.90074000000004</v>
      </c>
      <c r="I1318" s="425" t="e">
        <v>#N/A</v>
      </c>
      <c r="J1318" s="91">
        <v>116.32772</v>
      </c>
      <c r="K1318" s="425">
        <v>9096.4371800000008</v>
      </c>
      <c r="L1318" s="542" t="s">
        <v>622</v>
      </c>
    </row>
    <row r="1319" spans="1:12" ht="15">
      <c r="A1319">
        <v>304790</v>
      </c>
      <c r="B1319" t="e">
        <f t="shared" si="50"/>
        <v>#N/A</v>
      </c>
      <c r="C1319" s="209" t="e">
        <f t="shared" si="51"/>
        <v>#N/A</v>
      </c>
      <c r="D1319" t="s">
        <v>5068</v>
      </c>
      <c r="E1319" t="e">
        <v>#N/A</v>
      </c>
      <c r="F1319" t="e">
        <v>#N/A</v>
      </c>
      <c r="G1319" t="e">
        <v>#N/A</v>
      </c>
      <c r="H1319" s="214">
        <v>877.72376999999994</v>
      </c>
      <c r="I1319" s="425" t="e">
        <v>#N/A</v>
      </c>
      <c r="J1319" s="91">
        <v>163.91633999999999</v>
      </c>
      <c r="K1319" s="425">
        <v>12817.70694</v>
      </c>
      <c r="L1319" s="542" t="s">
        <v>622</v>
      </c>
    </row>
    <row r="1320" spans="1:12" ht="15">
      <c r="A1320">
        <v>304792</v>
      </c>
      <c r="B1320" t="e">
        <f t="shared" si="50"/>
        <v>#N/A</v>
      </c>
      <c r="C1320" s="209" t="e">
        <f t="shared" si="51"/>
        <v>#N/A</v>
      </c>
      <c r="D1320" t="s">
        <v>5069</v>
      </c>
      <c r="E1320" t="e">
        <v>#N/A</v>
      </c>
      <c r="F1320" t="e">
        <v>#N/A</v>
      </c>
      <c r="G1320" t="e">
        <v>#N/A</v>
      </c>
      <c r="H1320" s="214">
        <v>133.47873000000001</v>
      </c>
      <c r="I1320" s="425" t="e">
        <v>#N/A</v>
      </c>
      <c r="J1320" s="91">
        <v>24.92736</v>
      </c>
      <c r="K1320" s="425">
        <v>1949.2365500000001</v>
      </c>
      <c r="L1320" s="542" t="s">
        <v>622</v>
      </c>
    </row>
    <row r="1321" spans="1:12" ht="15">
      <c r="A1321">
        <v>305487</v>
      </c>
      <c r="B1321" t="e">
        <f t="shared" si="50"/>
        <v>#N/A</v>
      </c>
      <c r="C1321" s="209" t="e">
        <f t="shared" si="51"/>
        <v>#N/A</v>
      </c>
      <c r="D1321" t="s">
        <v>5070</v>
      </c>
      <c r="E1321" t="e">
        <v>#N/A</v>
      </c>
      <c r="F1321" t="e">
        <v>#N/A</v>
      </c>
      <c r="G1321" t="e">
        <v>#N/A</v>
      </c>
      <c r="H1321" s="214">
        <v>1028.9894999999999</v>
      </c>
      <c r="I1321" s="425" t="e">
        <v>#N/A</v>
      </c>
      <c r="J1321" s="91">
        <v>230.14198999999999</v>
      </c>
      <c r="K1321" s="425">
        <v>17838.467720000001</v>
      </c>
      <c r="L1321" s="542" t="s">
        <v>622</v>
      </c>
    </row>
    <row r="1322" spans="1:12" ht="15">
      <c r="A1322">
        <v>305491</v>
      </c>
      <c r="B1322" t="e">
        <f t="shared" si="50"/>
        <v>#N/A</v>
      </c>
      <c r="C1322" s="209" t="e">
        <f t="shared" si="51"/>
        <v>#N/A</v>
      </c>
      <c r="D1322" t="s">
        <v>5071</v>
      </c>
      <c r="E1322" t="e">
        <v>#N/A</v>
      </c>
      <c r="F1322" t="e">
        <v>#N/A</v>
      </c>
      <c r="G1322" t="e">
        <v>#N/A</v>
      </c>
      <c r="H1322" s="214">
        <v>262.35825</v>
      </c>
      <c r="I1322" s="425" t="e">
        <v>#N/A</v>
      </c>
      <c r="J1322" s="91">
        <v>58.67859</v>
      </c>
      <c r="K1322" s="425">
        <v>0</v>
      </c>
      <c r="L1322" s="542" t="s">
        <v>622</v>
      </c>
    </row>
    <row r="1323" spans="1:12" ht="15">
      <c r="A1323">
        <v>88671</v>
      </c>
      <c r="B1323" t="e">
        <f t="shared" si="50"/>
        <v>#N/A</v>
      </c>
      <c r="C1323" s="209" t="e">
        <f t="shared" si="51"/>
        <v>#N/A</v>
      </c>
      <c r="D1323" t="s">
        <v>5072</v>
      </c>
      <c r="E1323" t="e">
        <v>#N/A</v>
      </c>
      <c r="F1323" t="e">
        <v>#N/A</v>
      </c>
      <c r="G1323" t="e">
        <v>#N/A</v>
      </c>
      <c r="H1323" s="214">
        <v>777.64175999999998</v>
      </c>
      <c r="I1323" s="425" t="e">
        <v>#N/A</v>
      </c>
      <c r="J1323" s="91">
        <v>145.23340999999999</v>
      </c>
      <c r="K1323" s="425">
        <v>0</v>
      </c>
      <c r="L1323" s="542" t="s">
        <v>622</v>
      </c>
    </row>
    <row r="1324" spans="1:12" ht="15">
      <c r="A1324">
        <v>88673</v>
      </c>
      <c r="B1324" t="e">
        <f t="shared" si="50"/>
        <v>#N/A</v>
      </c>
      <c r="C1324" s="209" t="e">
        <f t="shared" si="51"/>
        <v>#N/A</v>
      </c>
      <c r="D1324" t="s">
        <v>5073</v>
      </c>
      <c r="E1324" t="e">
        <v>#N/A</v>
      </c>
      <c r="F1324" t="e">
        <v>#N/A</v>
      </c>
      <c r="G1324" t="e">
        <v>#N/A</v>
      </c>
      <c r="H1324" s="214">
        <v>1132.4880000000001</v>
      </c>
      <c r="I1324" s="425" t="e">
        <v>#N/A</v>
      </c>
      <c r="J1324" s="91">
        <v>211.50494</v>
      </c>
      <c r="K1324" s="425">
        <v>0</v>
      </c>
      <c r="L1324" s="542" t="s">
        <v>622</v>
      </c>
    </row>
    <row r="1325" spans="1:12" ht="15">
      <c r="A1325">
        <v>88674</v>
      </c>
      <c r="B1325" t="e">
        <f t="shared" si="50"/>
        <v>#N/A</v>
      </c>
      <c r="C1325" s="209" t="e">
        <f t="shared" si="51"/>
        <v>#N/A</v>
      </c>
      <c r="D1325" t="s">
        <v>5074</v>
      </c>
      <c r="E1325" t="e">
        <v>#N/A</v>
      </c>
      <c r="F1325" t="e">
        <v>#N/A</v>
      </c>
      <c r="G1325" t="e">
        <v>#N/A</v>
      </c>
      <c r="H1325" s="214">
        <v>302.72868</v>
      </c>
      <c r="I1325" s="425" t="e">
        <v>#N/A</v>
      </c>
      <c r="J1325" s="91">
        <v>56.53801</v>
      </c>
      <c r="K1325" s="425">
        <v>0</v>
      </c>
      <c r="L1325" s="542" t="s">
        <v>622</v>
      </c>
    </row>
    <row r="1326" spans="1:12" ht="15">
      <c r="A1326">
        <v>88675</v>
      </c>
      <c r="B1326" t="e">
        <f t="shared" si="50"/>
        <v>#N/A</v>
      </c>
      <c r="C1326" s="209" t="e">
        <f t="shared" si="51"/>
        <v>#N/A</v>
      </c>
      <c r="D1326" t="s">
        <v>5075</v>
      </c>
      <c r="E1326" t="e">
        <v>#N/A</v>
      </c>
      <c r="F1326" t="e">
        <v>#N/A</v>
      </c>
      <c r="G1326" t="e">
        <v>#N/A</v>
      </c>
      <c r="H1326" s="214">
        <v>367.3845</v>
      </c>
      <c r="I1326" s="425" t="e">
        <v>#N/A</v>
      </c>
      <c r="J1326" s="91">
        <v>68.613219999999998</v>
      </c>
      <c r="K1326" s="425">
        <v>0</v>
      </c>
      <c r="L1326" s="542" t="s">
        <v>622</v>
      </c>
    </row>
    <row r="1327" spans="1:12" ht="15">
      <c r="A1327">
        <v>88676</v>
      </c>
      <c r="B1327" t="e">
        <f t="shared" si="50"/>
        <v>#N/A</v>
      </c>
      <c r="C1327" s="209" t="e">
        <f t="shared" si="51"/>
        <v>#N/A</v>
      </c>
      <c r="D1327" t="s">
        <v>5076</v>
      </c>
      <c r="E1327" t="e">
        <v>#N/A</v>
      </c>
      <c r="F1327" t="e">
        <v>#N/A</v>
      </c>
      <c r="G1327" t="e">
        <v>#N/A</v>
      </c>
      <c r="H1327" s="214">
        <v>486.21870000000001</v>
      </c>
      <c r="I1327" s="425" t="e">
        <v>#N/A</v>
      </c>
      <c r="J1327" s="91">
        <v>90.806839999999994</v>
      </c>
      <c r="K1327" s="425">
        <v>0</v>
      </c>
      <c r="L1327" s="542" t="s">
        <v>622</v>
      </c>
    </row>
    <row r="1328" spans="1:12" ht="15">
      <c r="A1328">
        <v>88677</v>
      </c>
      <c r="B1328" t="e">
        <f t="shared" si="50"/>
        <v>#N/A</v>
      </c>
      <c r="C1328" s="209" t="e">
        <f t="shared" si="51"/>
        <v>#N/A</v>
      </c>
      <c r="D1328" t="s">
        <v>5077</v>
      </c>
      <c r="E1328" t="e">
        <v>#N/A</v>
      </c>
      <c r="F1328" t="e">
        <v>#N/A</v>
      </c>
      <c r="G1328" t="e">
        <v>#N/A</v>
      </c>
      <c r="H1328" s="214">
        <v>1145.6329499999999</v>
      </c>
      <c r="I1328" s="425" t="e">
        <v>#N/A</v>
      </c>
      <c r="J1328" s="91">
        <v>213.95991000000001</v>
      </c>
      <c r="K1328" s="425">
        <v>17253.211329999998</v>
      </c>
      <c r="L1328" s="542" t="s">
        <v>622</v>
      </c>
    </row>
    <row r="1329" spans="1:12" ht="15">
      <c r="A1329">
        <v>88678</v>
      </c>
      <c r="B1329" t="e">
        <f t="shared" si="50"/>
        <v>#N/A</v>
      </c>
      <c r="C1329" s="209" t="e">
        <f t="shared" si="51"/>
        <v>#N/A</v>
      </c>
      <c r="D1329" t="s">
        <v>5078</v>
      </c>
      <c r="E1329" t="e">
        <v>#N/A</v>
      </c>
      <c r="F1329" t="e">
        <v>#N/A</v>
      </c>
      <c r="G1329" t="e">
        <v>#N/A</v>
      </c>
      <c r="H1329" s="214">
        <v>1145.6329499999999</v>
      </c>
      <c r="I1329" s="425" t="e">
        <v>#N/A</v>
      </c>
      <c r="J1329" s="91">
        <v>213.95991000000001</v>
      </c>
      <c r="K1329" s="425">
        <v>17253.211329999998</v>
      </c>
      <c r="L1329" s="542" t="s">
        <v>622</v>
      </c>
    </row>
    <row r="1330" spans="1:12" ht="15">
      <c r="A1330">
        <v>88679</v>
      </c>
      <c r="B1330" t="e">
        <f t="shared" si="50"/>
        <v>#N/A</v>
      </c>
      <c r="C1330" s="209" t="e">
        <f t="shared" si="51"/>
        <v>#N/A</v>
      </c>
      <c r="D1330" t="s">
        <v>5079</v>
      </c>
      <c r="E1330" t="e">
        <v>#N/A</v>
      </c>
      <c r="F1330" t="e">
        <v>#N/A</v>
      </c>
      <c r="G1330" t="e">
        <v>#N/A</v>
      </c>
      <c r="H1330" s="214">
        <v>734.76900000000001</v>
      </c>
      <c r="I1330" s="425" t="e">
        <v>#N/A</v>
      </c>
      <c r="J1330" s="91">
        <v>137.22641999999999</v>
      </c>
      <c r="K1330" s="425">
        <v>0</v>
      </c>
      <c r="L1330" s="542" t="s">
        <v>622</v>
      </c>
    </row>
    <row r="1331" spans="1:12" ht="15">
      <c r="A1331">
        <v>88169</v>
      </c>
      <c r="B1331" t="e">
        <f t="shared" si="50"/>
        <v>#N/A</v>
      </c>
      <c r="C1331" s="209" t="e">
        <f t="shared" si="51"/>
        <v>#N/A</v>
      </c>
      <c r="D1331" t="s">
        <v>5080</v>
      </c>
      <c r="E1331" t="e">
        <v>#N/A</v>
      </c>
      <c r="F1331" t="e">
        <v>#N/A</v>
      </c>
      <c r="G1331" t="e">
        <v>#N/A</v>
      </c>
      <c r="H1331" s="214">
        <v>8.7793500000000009</v>
      </c>
      <c r="I1331" s="425" t="e">
        <v>#N/A</v>
      </c>
      <c r="J1331" s="91">
        <v>1.96357</v>
      </c>
      <c r="K1331" s="425">
        <v>156.94890000000001</v>
      </c>
      <c r="L1331" s="542" t="s">
        <v>621</v>
      </c>
    </row>
    <row r="1332" spans="1:12" ht="15">
      <c r="A1332">
        <v>88684</v>
      </c>
      <c r="B1332" t="e">
        <f t="shared" si="50"/>
        <v>#N/A</v>
      </c>
      <c r="C1332" s="209" t="e">
        <f t="shared" si="51"/>
        <v>#N/A</v>
      </c>
      <c r="D1332" t="s">
        <v>5081</v>
      </c>
      <c r="E1332" t="e">
        <v>#N/A</v>
      </c>
      <c r="F1332" t="e">
        <v>#N/A</v>
      </c>
      <c r="G1332" t="e">
        <v>#N/A</v>
      </c>
      <c r="H1332" s="214">
        <v>16.225000000000001</v>
      </c>
      <c r="I1332" s="425" t="e">
        <v>#N/A</v>
      </c>
      <c r="J1332" s="91">
        <v>3.62886</v>
      </c>
      <c r="K1332" s="425">
        <v>281.27510999999998</v>
      </c>
      <c r="L1332" s="542" t="s">
        <v>622</v>
      </c>
    </row>
    <row r="1333" spans="1:12" ht="15">
      <c r="A1333">
        <v>88691</v>
      </c>
      <c r="B1333" t="e">
        <f t="shared" si="50"/>
        <v>#N/A</v>
      </c>
      <c r="C1333" s="209" t="e">
        <f t="shared" si="51"/>
        <v>#N/A</v>
      </c>
      <c r="D1333" t="s">
        <v>5082</v>
      </c>
      <c r="E1333" t="e">
        <v>#N/A</v>
      </c>
      <c r="F1333" t="e">
        <v>#N/A</v>
      </c>
      <c r="G1333" t="e">
        <v>#N/A</v>
      </c>
      <c r="H1333" s="214">
        <v>32.725830000000002</v>
      </c>
      <c r="I1333" s="425" t="e">
        <v>#N/A</v>
      </c>
      <c r="J1333" s="91">
        <v>7.3193900000000003</v>
      </c>
      <c r="K1333" s="425">
        <v>567.33190999999999</v>
      </c>
      <c r="L1333" s="542" t="s">
        <v>622</v>
      </c>
    </row>
    <row r="1334" spans="1:12" ht="15">
      <c r="A1334">
        <v>88699</v>
      </c>
      <c r="B1334" t="e">
        <f t="shared" si="50"/>
        <v>#N/A</v>
      </c>
      <c r="C1334" s="209" t="e">
        <f t="shared" si="51"/>
        <v>#N/A</v>
      </c>
      <c r="D1334" t="s">
        <v>5083</v>
      </c>
      <c r="E1334" t="e">
        <v>#N/A</v>
      </c>
      <c r="F1334" t="e">
        <v>#N/A</v>
      </c>
      <c r="G1334" t="e">
        <v>#N/A</v>
      </c>
      <c r="H1334" s="214">
        <v>391.7364</v>
      </c>
      <c r="I1334" s="425" t="e">
        <v>#N/A</v>
      </c>
      <c r="J1334" s="91">
        <v>87.615080000000006</v>
      </c>
      <c r="K1334" s="425">
        <v>6791.1063599999998</v>
      </c>
      <c r="L1334" s="542" t="s">
        <v>622</v>
      </c>
    </row>
    <row r="1335" spans="1:12" ht="15">
      <c r="A1335">
        <v>413734</v>
      </c>
      <c r="B1335" t="str">
        <f t="shared" si="50"/>
        <v/>
      </c>
      <c r="C1335" s="209">
        <f t="shared" si="51"/>
        <v>0</v>
      </c>
      <c r="D1335" t="s">
        <v>5084</v>
      </c>
      <c r="E1335" t="s">
        <v>6334</v>
      </c>
      <c r="F1335" t="s">
        <v>84</v>
      </c>
      <c r="G1335" t="s">
        <v>7503</v>
      </c>
      <c r="H1335" s="214">
        <v>0.01</v>
      </c>
      <c r="I1335" s="425">
        <v>0</v>
      </c>
      <c r="J1335" s="91">
        <v>35.207689999999999</v>
      </c>
      <c r="K1335" s="425">
        <v>0.44683</v>
      </c>
      <c r="L1335" s="542" t="s">
        <v>622</v>
      </c>
    </row>
    <row r="1336" spans="1:12" ht="15">
      <c r="A1336">
        <v>413735</v>
      </c>
      <c r="B1336" t="str">
        <f t="shared" si="50"/>
        <v/>
      </c>
      <c r="C1336" s="209">
        <f t="shared" si="51"/>
        <v>0</v>
      </c>
      <c r="D1336" t="s">
        <v>5085</v>
      </c>
      <c r="E1336" t="s">
        <v>6334</v>
      </c>
      <c r="F1336" t="s">
        <v>84</v>
      </c>
      <c r="G1336" t="s">
        <v>7503</v>
      </c>
      <c r="H1336" s="214">
        <v>0.01</v>
      </c>
      <c r="I1336" s="425">
        <v>0</v>
      </c>
      <c r="J1336" s="91">
        <v>46.371540000000003</v>
      </c>
      <c r="K1336" s="425">
        <v>0.44683</v>
      </c>
      <c r="L1336" s="542" t="s">
        <v>622</v>
      </c>
    </row>
    <row r="1337" spans="1:12" ht="15">
      <c r="A1337">
        <v>413883</v>
      </c>
      <c r="B1337" t="str">
        <f t="shared" si="50"/>
        <v>SEVROLL hor.vod.lišta Simple 3m(18mm) RAL9003 lesk</v>
      </c>
      <c r="C1337" s="209" t="e">
        <f t="shared" si="51"/>
        <v>#N/A</v>
      </c>
      <c r="D1337" t="s">
        <v>5086</v>
      </c>
      <c r="E1337" t="s">
        <v>6335</v>
      </c>
      <c r="F1337" t="s">
        <v>6959</v>
      </c>
      <c r="G1337" t="s">
        <v>7504</v>
      </c>
      <c r="H1337" s="214">
        <v>0</v>
      </c>
      <c r="I1337" s="425" t="e">
        <v>#N/A</v>
      </c>
      <c r="J1337" s="91">
        <v>58.846690000000002</v>
      </c>
      <c r="K1337" s="425">
        <v>0</v>
      </c>
      <c r="L1337" s="542" t="s">
        <v>622</v>
      </c>
    </row>
    <row r="1338" spans="1:12" ht="15">
      <c r="A1338">
        <v>413885</v>
      </c>
      <c r="B1338" t="str">
        <f t="shared" si="50"/>
        <v>SEVROLL spod.krycia lišta Simple 3m(18mm) RAL9003 lesk</v>
      </c>
      <c r="C1338" s="209" t="e">
        <f t="shared" si="51"/>
        <v>#N/A</v>
      </c>
      <c r="D1338" t="s">
        <v>5087</v>
      </c>
      <c r="E1338" t="s">
        <v>6336</v>
      </c>
      <c r="F1338" t="s">
        <v>6960</v>
      </c>
      <c r="G1338" t="s">
        <v>7505</v>
      </c>
      <c r="H1338" s="214">
        <v>0</v>
      </c>
      <c r="I1338" s="425" t="e">
        <v>#N/A</v>
      </c>
      <c r="J1338" s="91">
        <v>0</v>
      </c>
      <c r="K1338" s="425">
        <v>0</v>
      </c>
      <c r="L1338" s="542" t="s">
        <v>622</v>
      </c>
    </row>
    <row r="1339" spans="1:12" ht="15">
      <c r="A1339">
        <v>414086</v>
      </c>
      <c r="B1339" t="str">
        <f t="shared" si="50"/>
        <v>SEVROLL maska Elegant II 3m čierny mat</v>
      </c>
      <c r="C1339" s="209">
        <f t="shared" si="51"/>
        <v>6.6527000000000003</v>
      </c>
      <c r="D1339" t="s">
        <v>5088</v>
      </c>
      <c r="E1339" t="s">
        <v>6337</v>
      </c>
      <c r="F1339" t="s">
        <v>6961</v>
      </c>
      <c r="G1339" t="s">
        <v>7506</v>
      </c>
      <c r="H1339" s="214">
        <v>184.32512</v>
      </c>
      <c r="I1339" s="425">
        <v>6.6527000000000003</v>
      </c>
      <c r="J1339" s="91">
        <v>22.08</v>
      </c>
      <c r="K1339" s="425">
        <v>2088.4558000000002</v>
      </c>
      <c r="L1339" s="542" t="s">
        <v>621</v>
      </c>
    </row>
    <row r="1340" spans="1:12" ht="15">
      <c r="A1340">
        <v>266722</v>
      </c>
      <c r="B1340" t="str">
        <f t="shared" si="50"/>
        <v>SEVROLL Gemini úchytová lišta 2,7m RAL9003 m</v>
      </c>
      <c r="C1340" s="209" t="e">
        <f t="shared" si="51"/>
        <v>#N/A</v>
      </c>
      <c r="D1340" t="s">
        <v>5089</v>
      </c>
      <c r="E1340" t="s">
        <v>6338</v>
      </c>
      <c r="F1340" t="s">
        <v>6962</v>
      </c>
      <c r="G1340" t="s">
        <v>7507</v>
      </c>
      <c r="H1340" s="214">
        <v>0</v>
      </c>
      <c r="I1340" s="425" t="e">
        <v>#N/A</v>
      </c>
      <c r="J1340" s="91">
        <v>0</v>
      </c>
      <c r="K1340" s="425">
        <v>0</v>
      </c>
      <c r="L1340" s="542" t="s">
        <v>622</v>
      </c>
    </row>
    <row r="1341" spans="1:12" ht="15">
      <c r="A1341">
        <v>266723</v>
      </c>
      <c r="B1341" t="str">
        <f t="shared" si="50"/>
        <v>SEVROLL Gemini horné vedenie 2,35m RAL9003 m</v>
      </c>
      <c r="C1341" s="209" t="e">
        <f t="shared" si="51"/>
        <v>#N/A</v>
      </c>
      <c r="D1341" t="s">
        <v>5090</v>
      </c>
      <c r="E1341" t="s">
        <v>6339</v>
      </c>
      <c r="F1341" t="s">
        <v>6963</v>
      </c>
      <c r="G1341" t="s">
        <v>7508</v>
      </c>
      <c r="H1341" s="214">
        <v>0</v>
      </c>
      <c r="I1341" s="425" t="e">
        <v>#N/A</v>
      </c>
      <c r="J1341" s="91">
        <v>0</v>
      </c>
      <c r="K1341" s="425">
        <v>0</v>
      </c>
      <c r="L1341" s="542" t="s">
        <v>622</v>
      </c>
    </row>
    <row r="1342" spans="1:12" ht="15">
      <c r="A1342">
        <v>266741</v>
      </c>
      <c r="B1342" t="str">
        <f t="shared" si="50"/>
        <v>SEVROLL horná vodiaca lišta 2,35m RAL9003 ma</v>
      </c>
      <c r="C1342" s="209" t="e">
        <f t="shared" si="51"/>
        <v>#N/A</v>
      </c>
      <c r="D1342" t="s">
        <v>5091</v>
      </c>
      <c r="E1342" t="s">
        <v>6340</v>
      </c>
      <c r="F1342" t="s">
        <v>6964</v>
      </c>
      <c r="G1342" t="s">
        <v>7509</v>
      </c>
      <c r="H1342" s="214">
        <v>0</v>
      </c>
      <c r="I1342" s="425" t="e">
        <v>#N/A</v>
      </c>
      <c r="J1342" s="91">
        <v>0</v>
      </c>
      <c r="K1342" s="425">
        <v>0</v>
      </c>
      <c r="L1342" s="542" t="s">
        <v>622</v>
      </c>
    </row>
    <row r="1343" spans="1:12" ht="15">
      <c r="A1343">
        <v>266742</v>
      </c>
      <c r="B1343" t="str">
        <f t="shared" si="50"/>
        <v>SEVROLL spodná krycia lišta 2,35m RAL9003 ma</v>
      </c>
      <c r="C1343" s="209" t="e">
        <f t="shared" si="51"/>
        <v>#N/A</v>
      </c>
      <c r="D1343" t="s">
        <v>5092</v>
      </c>
      <c r="E1343" t="s">
        <v>6341</v>
      </c>
      <c r="F1343" t="s">
        <v>6965</v>
      </c>
      <c r="G1343" t="s">
        <v>7510</v>
      </c>
      <c r="H1343" s="214">
        <v>0</v>
      </c>
      <c r="I1343" s="425" t="e">
        <v>#N/A</v>
      </c>
      <c r="J1343" s="91">
        <v>0</v>
      </c>
      <c r="K1343" s="425">
        <v>0</v>
      </c>
      <c r="L1343" s="542" t="s">
        <v>622</v>
      </c>
    </row>
    <row r="1344" spans="1:12" ht="15">
      <c r="A1344">
        <v>266745</v>
      </c>
      <c r="B1344" t="str">
        <f t="shared" si="50"/>
        <v>SEVROLL spojovacia lišta H10 3m RAL9003 mat</v>
      </c>
      <c r="C1344" s="209" t="e">
        <f t="shared" si="51"/>
        <v>#N/A</v>
      </c>
      <c r="D1344" t="s">
        <v>5093</v>
      </c>
      <c r="E1344" t="s">
        <v>6342</v>
      </c>
      <c r="F1344" t="s">
        <v>6966</v>
      </c>
      <c r="G1344" t="s">
        <v>7511</v>
      </c>
      <c r="H1344" s="214">
        <v>0</v>
      </c>
      <c r="I1344" s="425" t="e">
        <v>#N/A</v>
      </c>
      <c r="J1344" s="91">
        <v>0</v>
      </c>
      <c r="K1344" s="425">
        <v>0</v>
      </c>
      <c r="L1344" s="542" t="s">
        <v>622</v>
      </c>
    </row>
    <row r="1345" spans="1:12" ht="15">
      <c r="A1345">
        <v>266994</v>
      </c>
      <c r="B1345" t="e">
        <f t="shared" si="50"/>
        <v>#N/A</v>
      </c>
      <c r="C1345" s="209" t="e">
        <f t="shared" si="51"/>
        <v>#N/A</v>
      </c>
      <c r="D1345" t="s">
        <v>5094</v>
      </c>
      <c r="E1345" t="e">
        <v>#N/A</v>
      </c>
      <c r="F1345" t="e">
        <v>#N/A</v>
      </c>
      <c r="G1345" t="e">
        <v>#N/A</v>
      </c>
      <c r="H1345" s="214">
        <v>512.34259999999995</v>
      </c>
      <c r="I1345" s="425" t="e">
        <v>#N/A</v>
      </c>
      <c r="J1345" s="91">
        <v>95.680819999999997</v>
      </c>
      <c r="K1345" s="425">
        <v>7481.9180299999998</v>
      </c>
      <c r="L1345" s="542" t="s">
        <v>622</v>
      </c>
    </row>
    <row r="1346" spans="1:12" ht="15">
      <c r="A1346">
        <v>266995</v>
      </c>
      <c r="B1346" t="e">
        <f t="shared" si="50"/>
        <v>#N/A</v>
      </c>
      <c r="C1346" s="209" t="e">
        <f t="shared" si="51"/>
        <v>#N/A</v>
      </c>
      <c r="D1346" t="s">
        <v>5095</v>
      </c>
      <c r="E1346" t="e">
        <v>#N/A</v>
      </c>
      <c r="F1346" t="e">
        <v>#N/A</v>
      </c>
      <c r="G1346" t="e">
        <v>#N/A</v>
      </c>
      <c r="H1346" s="214">
        <v>124.04084</v>
      </c>
      <c r="I1346" s="425" t="e">
        <v>#N/A</v>
      </c>
      <c r="J1346" s="91">
        <v>23.164829999999998</v>
      </c>
      <c r="K1346" s="425">
        <v>1811.41174</v>
      </c>
      <c r="L1346" s="542" t="s">
        <v>622</v>
      </c>
    </row>
    <row r="1347" spans="1:12" ht="15">
      <c r="A1347">
        <v>267011</v>
      </c>
      <c r="B1347" t="e">
        <f t="shared" si="50"/>
        <v>#N/A</v>
      </c>
      <c r="C1347" s="209" t="e">
        <f t="shared" si="51"/>
        <v>#N/A</v>
      </c>
      <c r="D1347" t="s">
        <v>5096</v>
      </c>
      <c r="E1347" t="e">
        <v>#N/A</v>
      </c>
      <c r="F1347" t="e">
        <v>#N/A</v>
      </c>
      <c r="G1347" t="e">
        <v>#N/A</v>
      </c>
      <c r="H1347" s="214">
        <v>1189.1741400000001</v>
      </c>
      <c r="I1347" s="425" t="e">
        <v>#N/A</v>
      </c>
      <c r="J1347" s="91">
        <v>222.08018999999999</v>
      </c>
      <c r="K1347" s="425">
        <v>17365.92554</v>
      </c>
      <c r="L1347" s="542" t="s">
        <v>622</v>
      </c>
    </row>
    <row r="1348" spans="1:12" ht="15">
      <c r="A1348">
        <v>267012</v>
      </c>
      <c r="B1348" t="e">
        <f t="shared" ref="B1348:B1397" si="52">IF($A$2=1,D1348,IF($A$2=2,F1348,IF($A$2=3,G1348,IF($A$2=4,E1348,"zadat jazyk"))))</f>
        <v>#N/A</v>
      </c>
      <c r="C1348" s="209" t="e">
        <f t="shared" ref="C1348:C1397" si="53">IF($A$2=1,H1348,IF($A$2=2,I1348,IF($A$2=3,J1348,IF($A$2=4,K1348,"zadat jazyk"))))</f>
        <v>#N/A</v>
      </c>
      <c r="D1348" t="s">
        <v>5097</v>
      </c>
      <c r="E1348" t="e">
        <v>#N/A</v>
      </c>
      <c r="F1348" t="e">
        <v>#N/A</v>
      </c>
      <c r="G1348" t="e">
        <v>#N/A</v>
      </c>
      <c r="H1348" s="214">
        <v>567.62166999999999</v>
      </c>
      <c r="I1348" s="425" t="e">
        <v>#N/A</v>
      </c>
      <c r="J1348" s="91">
        <v>106.00426</v>
      </c>
      <c r="K1348" s="425">
        <v>8289.1776000000009</v>
      </c>
      <c r="L1348" s="542" t="s">
        <v>622</v>
      </c>
    </row>
    <row r="1349" spans="1:12" ht="15">
      <c r="A1349">
        <v>267013</v>
      </c>
      <c r="B1349" t="e">
        <f t="shared" si="52"/>
        <v>#N/A</v>
      </c>
      <c r="C1349" s="209" t="e">
        <f t="shared" si="53"/>
        <v>#N/A</v>
      </c>
      <c r="D1349" t="s">
        <v>5098</v>
      </c>
      <c r="E1349" t="e">
        <v>#N/A</v>
      </c>
      <c r="F1349" t="e">
        <v>#N/A</v>
      </c>
      <c r="G1349" t="e">
        <v>#N/A</v>
      </c>
      <c r="H1349" s="214">
        <v>768.51390000000004</v>
      </c>
      <c r="I1349" s="425" t="e">
        <v>#N/A</v>
      </c>
      <c r="J1349" s="91">
        <v>143.52123</v>
      </c>
      <c r="K1349" s="425">
        <v>11222.877039999999</v>
      </c>
      <c r="L1349" s="542" t="s">
        <v>622</v>
      </c>
    </row>
    <row r="1350" spans="1:12" ht="15">
      <c r="A1350">
        <v>267014</v>
      </c>
      <c r="B1350" t="e">
        <f t="shared" si="52"/>
        <v>#N/A</v>
      </c>
      <c r="C1350" s="209" t="e">
        <f t="shared" si="53"/>
        <v>#N/A</v>
      </c>
      <c r="D1350" t="s">
        <v>5099</v>
      </c>
      <c r="E1350" t="e">
        <v>#N/A</v>
      </c>
      <c r="F1350" t="e">
        <v>#N/A</v>
      </c>
      <c r="G1350" t="e">
        <v>#N/A</v>
      </c>
      <c r="H1350" s="214">
        <v>186.06126</v>
      </c>
      <c r="I1350" s="425" t="e">
        <v>#N/A</v>
      </c>
      <c r="J1350" s="91">
        <v>34.747230000000002</v>
      </c>
      <c r="K1350" s="425">
        <v>2717.1175899999998</v>
      </c>
      <c r="L1350" s="542" t="s">
        <v>622</v>
      </c>
    </row>
    <row r="1351" spans="1:12" ht="15">
      <c r="A1351">
        <v>267015</v>
      </c>
      <c r="B1351" t="e">
        <f t="shared" si="52"/>
        <v>#N/A</v>
      </c>
      <c r="C1351" s="209" t="e">
        <f t="shared" si="53"/>
        <v>#N/A</v>
      </c>
      <c r="D1351" t="s">
        <v>5100</v>
      </c>
      <c r="E1351" t="e">
        <v>#N/A</v>
      </c>
      <c r="F1351" t="e">
        <v>#N/A</v>
      </c>
      <c r="G1351" t="e">
        <v>#N/A</v>
      </c>
      <c r="H1351" s="214">
        <v>711.88656000000003</v>
      </c>
      <c r="I1351" s="425" t="e">
        <v>#N/A</v>
      </c>
      <c r="J1351" s="91">
        <v>132.94596000000001</v>
      </c>
      <c r="K1351" s="425">
        <v>10395.9282</v>
      </c>
      <c r="L1351" s="542" t="s">
        <v>622</v>
      </c>
    </row>
    <row r="1352" spans="1:12" ht="15">
      <c r="A1352">
        <v>267016</v>
      </c>
      <c r="B1352" t="e">
        <f t="shared" si="52"/>
        <v>#N/A</v>
      </c>
      <c r="C1352" s="209" t="e">
        <f t="shared" si="53"/>
        <v>#N/A</v>
      </c>
      <c r="D1352" t="s">
        <v>5101</v>
      </c>
      <c r="E1352" t="e">
        <v>#N/A</v>
      </c>
      <c r="F1352" t="e">
        <v>#N/A</v>
      </c>
      <c r="G1352" t="e">
        <v>#N/A</v>
      </c>
      <c r="H1352" s="214">
        <v>1003.11288</v>
      </c>
      <c r="I1352" s="425" t="e">
        <v>#N/A</v>
      </c>
      <c r="J1352" s="91">
        <v>187.33295000000001</v>
      </c>
      <c r="K1352" s="425">
        <v>14648.807919999999</v>
      </c>
      <c r="L1352" s="542" t="s">
        <v>622</v>
      </c>
    </row>
    <row r="1353" spans="1:12" ht="15">
      <c r="A1353">
        <v>267338</v>
      </c>
      <c r="B1353" t="e">
        <f t="shared" si="52"/>
        <v>#N/A</v>
      </c>
      <c r="C1353" s="209" t="e">
        <f t="shared" si="53"/>
        <v>#N/A</v>
      </c>
      <c r="D1353" t="s">
        <v>5102</v>
      </c>
      <c r="E1353" t="e">
        <v>#N/A</v>
      </c>
      <c r="F1353" t="e">
        <v>#N/A</v>
      </c>
      <c r="G1353" t="e">
        <v>#N/A</v>
      </c>
      <c r="H1353" s="214">
        <v>17130.229200000002</v>
      </c>
      <c r="I1353" s="425" t="e">
        <v>#N/A</v>
      </c>
      <c r="J1353" s="91">
        <v>3199.2641199999998</v>
      </c>
      <c r="K1353" s="425">
        <v>250171.71176000001</v>
      </c>
      <c r="L1353" s="542" t="s">
        <v>622</v>
      </c>
    </row>
    <row r="1354" spans="1:12" ht="15">
      <c r="A1354">
        <v>267339</v>
      </c>
      <c r="B1354" t="e">
        <f t="shared" si="52"/>
        <v>#N/A</v>
      </c>
      <c r="C1354" s="209" t="e">
        <f t="shared" si="53"/>
        <v>#N/A</v>
      </c>
      <c r="D1354" t="s">
        <v>5103</v>
      </c>
      <c r="E1354" t="e">
        <v>#N/A</v>
      </c>
      <c r="F1354" t="e">
        <v>#N/A</v>
      </c>
      <c r="G1354" t="e">
        <v>#N/A</v>
      </c>
      <c r="H1354" s="214">
        <v>2150.41752</v>
      </c>
      <c r="I1354" s="425" t="e">
        <v>#N/A</v>
      </c>
      <c r="J1354" s="91">
        <v>401.61480999999998</v>
      </c>
      <c r="K1354" s="425">
        <v>31404.92901</v>
      </c>
      <c r="L1354" s="542" t="s">
        <v>622</v>
      </c>
    </row>
    <row r="1355" spans="1:12" ht="15">
      <c r="A1355">
        <v>267340</v>
      </c>
      <c r="B1355" t="e">
        <f t="shared" si="52"/>
        <v>#N/A</v>
      </c>
      <c r="C1355" s="209" t="e">
        <f t="shared" si="53"/>
        <v>#N/A</v>
      </c>
      <c r="D1355" t="s">
        <v>5104</v>
      </c>
      <c r="E1355" t="e">
        <v>#N/A</v>
      </c>
      <c r="F1355" t="e">
        <v>#N/A</v>
      </c>
      <c r="G1355" t="e">
        <v>#N/A</v>
      </c>
      <c r="H1355" s="214">
        <v>8521.9914599999993</v>
      </c>
      <c r="I1355" s="425" t="e">
        <v>#N/A</v>
      </c>
      <c r="J1355" s="91">
        <v>1591.5783300000001</v>
      </c>
      <c r="K1355" s="425">
        <v>124456.0809</v>
      </c>
      <c r="L1355" s="542" t="s">
        <v>622</v>
      </c>
    </row>
    <row r="1356" spans="1:12" ht="15">
      <c r="A1356">
        <v>267341</v>
      </c>
      <c r="B1356" t="e">
        <f t="shared" si="52"/>
        <v>#N/A</v>
      </c>
      <c r="C1356" s="209" t="e">
        <f t="shared" si="53"/>
        <v>#N/A</v>
      </c>
      <c r="D1356" t="s">
        <v>5105</v>
      </c>
      <c r="E1356" t="e">
        <v>#N/A</v>
      </c>
      <c r="F1356" t="e">
        <v>#N/A</v>
      </c>
      <c r="G1356" t="e">
        <v>#N/A</v>
      </c>
      <c r="H1356" s="214">
        <v>2269.0591199999999</v>
      </c>
      <c r="I1356" s="425" t="e">
        <v>#N/A</v>
      </c>
      <c r="J1356" s="91">
        <v>423.77246000000002</v>
      </c>
      <c r="K1356" s="425">
        <v>33137.583720000002</v>
      </c>
      <c r="L1356" s="542" t="s">
        <v>622</v>
      </c>
    </row>
    <row r="1357" spans="1:12" ht="15">
      <c r="A1357">
        <v>267342</v>
      </c>
      <c r="B1357" t="e">
        <f t="shared" si="52"/>
        <v>#N/A</v>
      </c>
      <c r="C1357" s="209" t="e">
        <f t="shared" si="53"/>
        <v>#N/A</v>
      </c>
      <c r="D1357" t="s">
        <v>5106</v>
      </c>
      <c r="E1357" t="e">
        <v>#N/A</v>
      </c>
      <c r="F1357" t="e">
        <v>#N/A</v>
      </c>
      <c r="G1357" t="e">
        <v>#N/A</v>
      </c>
      <c r="H1357" s="214">
        <v>2269.0591199999999</v>
      </c>
      <c r="I1357" s="425" t="e">
        <v>#N/A</v>
      </c>
      <c r="J1357" s="91">
        <v>423.77246000000002</v>
      </c>
      <c r="K1357" s="425">
        <v>33137.583720000002</v>
      </c>
      <c r="L1357" s="542" t="s">
        <v>622</v>
      </c>
    </row>
    <row r="1358" spans="1:12" ht="15">
      <c r="A1358">
        <v>267555</v>
      </c>
      <c r="B1358" t="e">
        <f t="shared" si="52"/>
        <v>#N/A</v>
      </c>
      <c r="C1358" s="209" t="e">
        <f t="shared" si="53"/>
        <v>#N/A</v>
      </c>
      <c r="D1358" t="s">
        <v>5107</v>
      </c>
      <c r="E1358" t="e">
        <v>#N/A</v>
      </c>
      <c r="F1358" t="e">
        <v>#N/A</v>
      </c>
      <c r="G1358" t="e">
        <v>#N/A</v>
      </c>
      <c r="H1358" s="214">
        <v>231.90244000000001</v>
      </c>
      <c r="I1358" s="425" t="e">
        <v>#N/A</v>
      </c>
      <c r="J1358" s="91">
        <v>70.501649999999998</v>
      </c>
      <c r="K1358" s="425">
        <v>5685.0828700000002</v>
      </c>
      <c r="L1358" s="542" t="s">
        <v>622</v>
      </c>
    </row>
    <row r="1359" spans="1:12" ht="15">
      <c r="A1359">
        <v>267566</v>
      </c>
      <c r="B1359" t="e">
        <f t="shared" si="52"/>
        <v>#N/A</v>
      </c>
      <c r="C1359" s="209" t="e">
        <f t="shared" si="53"/>
        <v>#N/A</v>
      </c>
      <c r="D1359" t="s">
        <v>5108</v>
      </c>
      <c r="E1359" t="e">
        <v>#N/A</v>
      </c>
      <c r="F1359" t="e">
        <v>#N/A</v>
      </c>
      <c r="G1359" t="e">
        <v>#N/A</v>
      </c>
      <c r="H1359" s="214">
        <v>102.46852</v>
      </c>
      <c r="I1359" s="425" t="e">
        <v>#N/A</v>
      </c>
      <c r="J1359" s="91">
        <v>28.200669999999999</v>
      </c>
      <c r="K1359" s="425">
        <v>2274.0331500000002</v>
      </c>
      <c r="L1359" s="542" t="s">
        <v>622</v>
      </c>
    </row>
    <row r="1360" spans="1:12" ht="15">
      <c r="A1360">
        <v>267881</v>
      </c>
      <c r="B1360" t="str">
        <f t="shared" si="52"/>
        <v>SEVROLL spojovovaica lišta H08/18 3m RAL9003 lesk</v>
      </c>
      <c r="C1360" s="209" t="e">
        <f t="shared" si="53"/>
        <v>#N/A</v>
      </c>
      <c r="D1360" t="s">
        <v>5109</v>
      </c>
      <c r="E1360" t="s">
        <v>6343</v>
      </c>
      <c r="F1360" t="s">
        <v>6967</v>
      </c>
      <c r="G1360" t="s">
        <v>7512</v>
      </c>
      <c r="H1360" s="214">
        <v>0</v>
      </c>
      <c r="I1360" s="425" t="e">
        <v>#N/A</v>
      </c>
      <c r="J1360" s="91">
        <v>0</v>
      </c>
      <c r="K1360" s="425">
        <v>0</v>
      </c>
      <c r="L1360" s="542" t="s">
        <v>622</v>
      </c>
    </row>
    <row r="1361" spans="1:12" ht="15">
      <c r="A1361">
        <v>267942</v>
      </c>
      <c r="B1361" t="str">
        <f t="shared" si="52"/>
        <v>SEVROLL System 10 II lišta 2,7 RAL9003 lesk</v>
      </c>
      <c r="C1361" s="209" t="e">
        <f t="shared" si="53"/>
        <v>#N/A</v>
      </c>
      <c r="D1361" t="s">
        <v>5110</v>
      </c>
      <c r="E1361" t="s">
        <v>6344</v>
      </c>
      <c r="F1361" t="s">
        <v>6968</v>
      </c>
      <c r="G1361" t="s">
        <v>7513</v>
      </c>
      <c r="H1361" s="214">
        <v>0</v>
      </c>
      <c r="I1361" s="425" t="e">
        <v>#N/A</v>
      </c>
      <c r="J1361" s="91">
        <v>0</v>
      </c>
      <c r="K1361" s="425">
        <v>0</v>
      </c>
      <c r="L1361" s="542" t="s">
        <v>622</v>
      </c>
    </row>
    <row r="1362" spans="1:12" ht="15">
      <c r="A1362">
        <v>268674</v>
      </c>
      <c r="B1362" t="e">
        <f t="shared" si="52"/>
        <v>#N/A</v>
      </c>
      <c r="C1362" s="209" t="e">
        <f t="shared" si="53"/>
        <v>#N/A</v>
      </c>
      <c r="D1362" t="s">
        <v>5111</v>
      </c>
      <c r="E1362" t="e">
        <v>#N/A</v>
      </c>
      <c r="F1362" t="e">
        <v>#N/A</v>
      </c>
      <c r="G1362" t="e">
        <v>#N/A</v>
      </c>
      <c r="H1362" s="214">
        <v>94.674999999999997</v>
      </c>
      <c r="I1362" s="425" t="e">
        <v>#N/A</v>
      </c>
      <c r="J1362" s="91">
        <v>21.346129999999999</v>
      </c>
      <c r="K1362" s="425">
        <v>1819.5331100000001</v>
      </c>
      <c r="L1362" s="542" t="s">
        <v>622</v>
      </c>
    </row>
    <row r="1363" spans="1:12" ht="15">
      <c r="A1363">
        <v>268675</v>
      </c>
      <c r="B1363" t="e">
        <f t="shared" si="52"/>
        <v>#N/A</v>
      </c>
      <c r="C1363" s="209" t="e">
        <f t="shared" si="53"/>
        <v>#N/A</v>
      </c>
      <c r="D1363" t="s">
        <v>5112</v>
      </c>
      <c r="E1363" t="e">
        <v>#N/A</v>
      </c>
      <c r="F1363" t="e">
        <v>#N/A</v>
      </c>
      <c r="G1363" t="e">
        <v>#N/A</v>
      </c>
      <c r="H1363" s="214">
        <v>348.6</v>
      </c>
      <c r="I1363" s="425" t="e">
        <v>#N/A</v>
      </c>
      <c r="J1363" s="91">
        <v>78.597930000000005</v>
      </c>
      <c r="K1363" s="425">
        <v>6699.6491500000002</v>
      </c>
      <c r="L1363" s="542" t="s">
        <v>622</v>
      </c>
    </row>
    <row r="1364" spans="1:12" ht="15">
      <c r="A1364">
        <v>268676</v>
      </c>
      <c r="B1364" t="e">
        <f t="shared" si="52"/>
        <v>#N/A</v>
      </c>
      <c r="C1364" s="209" t="e">
        <f t="shared" si="53"/>
        <v>#N/A</v>
      </c>
      <c r="D1364" t="s">
        <v>5113</v>
      </c>
      <c r="E1364" t="e">
        <v>#N/A</v>
      </c>
      <c r="F1364" t="e">
        <v>#N/A</v>
      </c>
      <c r="G1364" t="e">
        <v>#N/A</v>
      </c>
      <c r="H1364" s="214">
        <v>157.91999999999999</v>
      </c>
      <c r="I1364" s="425" t="e">
        <v>#N/A</v>
      </c>
      <c r="J1364" s="91">
        <v>35.605820000000001</v>
      </c>
      <c r="K1364" s="425">
        <v>3035.0218100000002</v>
      </c>
      <c r="L1364" s="542" t="s">
        <v>622</v>
      </c>
    </row>
    <row r="1365" spans="1:12" ht="15">
      <c r="A1365">
        <v>268677</v>
      </c>
      <c r="B1365" t="e">
        <f t="shared" si="52"/>
        <v>#N/A</v>
      </c>
      <c r="C1365" s="209" t="e">
        <f t="shared" si="53"/>
        <v>#N/A</v>
      </c>
      <c r="D1365" t="s">
        <v>5114</v>
      </c>
      <c r="E1365" t="e">
        <v>#N/A</v>
      </c>
      <c r="F1365" t="e">
        <v>#N/A</v>
      </c>
      <c r="G1365" t="e">
        <v>#N/A</v>
      </c>
      <c r="H1365" s="214">
        <v>73.5</v>
      </c>
      <c r="I1365" s="425" t="e">
        <v>#N/A</v>
      </c>
      <c r="J1365" s="91">
        <v>16.571850000000001</v>
      </c>
      <c r="K1365" s="425">
        <v>1412.5766100000001</v>
      </c>
      <c r="L1365" s="542" t="s">
        <v>622</v>
      </c>
    </row>
    <row r="1366" spans="1:12" ht="15">
      <c r="A1366">
        <v>268938</v>
      </c>
      <c r="B1366" t="e">
        <f t="shared" si="52"/>
        <v>#N/A</v>
      </c>
      <c r="C1366" s="209" t="e">
        <f t="shared" si="53"/>
        <v>#N/A</v>
      </c>
      <c r="D1366" t="s">
        <v>5115</v>
      </c>
      <c r="E1366" t="e">
        <v>#N/A</v>
      </c>
      <c r="F1366" t="e">
        <v>#N/A</v>
      </c>
      <c r="G1366" t="e">
        <v>#N/A</v>
      </c>
      <c r="H1366" s="214">
        <v>2168.13672</v>
      </c>
      <c r="I1366" s="425" t="e">
        <v>#N/A</v>
      </c>
      <c r="J1366" s="91">
        <v>404.92406</v>
      </c>
      <c r="K1366" s="425">
        <v>31663.702120000002</v>
      </c>
      <c r="L1366" s="542" t="s">
        <v>622</v>
      </c>
    </row>
    <row r="1367" spans="1:12" ht="15">
      <c r="A1367">
        <v>268939</v>
      </c>
      <c r="B1367" t="e">
        <f t="shared" si="52"/>
        <v>#N/A</v>
      </c>
      <c r="C1367" s="209" t="e">
        <f t="shared" si="53"/>
        <v>#N/A</v>
      </c>
      <c r="D1367" t="s">
        <v>5116</v>
      </c>
      <c r="E1367" t="e">
        <v>#N/A</v>
      </c>
      <c r="F1367" t="e">
        <v>#N/A</v>
      </c>
      <c r="G1367" t="e">
        <v>#N/A</v>
      </c>
      <c r="H1367" s="214">
        <v>2285.7575400000001</v>
      </c>
      <c r="I1367" s="425" t="e">
        <v>#N/A</v>
      </c>
      <c r="J1367" s="91">
        <v>426.89107000000001</v>
      </c>
      <c r="K1367" s="425">
        <v>33381.449240000002</v>
      </c>
      <c r="L1367" s="542" t="s">
        <v>622</v>
      </c>
    </row>
    <row r="1368" spans="1:12" ht="15">
      <c r="A1368">
        <v>390594</v>
      </c>
      <c r="B1368" t="e">
        <f t="shared" si="52"/>
        <v>#N/A</v>
      </c>
      <c r="C1368" s="209" t="e">
        <f t="shared" si="53"/>
        <v>#N/A</v>
      </c>
      <c r="D1368" t="s">
        <v>5117</v>
      </c>
      <c r="E1368" t="e">
        <v>#N/A</v>
      </c>
      <c r="F1368" t="e">
        <v>#N/A</v>
      </c>
      <c r="G1368" t="e">
        <v>#N/A</v>
      </c>
      <c r="H1368" s="214">
        <v>934.04867999999999</v>
      </c>
      <c r="I1368" s="425" t="e">
        <v>#N/A</v>
      </c>
      <c r="J1368" s="91">
        <v>150.12583000000001</v>
      </c>
      <c r="K1368" s="425">
        <v>12355.98516</v>
      </c>
      <c r="L1368" s="542" t="s">
        <v>1025</v>
      </c>
    </row>
    <row r="1369" spans="1:12" ht="15">
      <c r="A1369">
        <v>390595</v>
      </c>
      <c r="B1369" t="e">
        <f t="shared" si="52"/>
        <v>#N/A</v>
      </c>
      <c r="C1369" s="209" t="e">
        <f t="shared" si="53"/>
        <v>#N/A</v>
      </c>
      <c r="D1369" t="s">
        <v>5118</v>
      </c>
      <c r="E1369" t="e">
        <v>#N/A</v>
      </c>
      <c r="F1369" t="e">
        <v>#N/A</v>
      </c>
      <c r="G1369" t="e">
        <v>#N/A</v>
      </c>
      <c r="H1369" s="214">
        <v>1483.44695</v>
      </c>
      <c r="I1369" s="425" t="e">
        <v>#N/A</v>
      </c>
      <c r="J1369" s="91">
        <v>238.42838</v>
      </c>
      <c r="K1369" s="425">
        <v>19623.654020000002</v>
      </c>
      <c r="L1369" s="542" t="s">
        <v>1025</v>
      </c>
    </row>
    <row r="1370" spans="1:12" ht="15">
      <c r="A1370">
        <v>390596</v>
      </c>
      <c r="B1370" t="e">
        <f t="shared" si="52"/>
        <v>#N/A</v>
      </c>
      <c r="C1370" s="209" t="e">
        <f t="shared" si="53"/>
        <v>#N/A</v>
      </c>
      <c r="D1370" t="s">
        <v>5119</v>
      </c>
      <c r="E1370" t="e">
        <v>#N/A</v>
      </c>
      <c r="F1370" t="e">
        <v>#N/A</v>
      </c>
      <c r="G1370" t="e">
        <v>#N/A</v>
      </c>
      <c r="H1370" s="214">
        <v>1633.8688999999999</v>
      </c>
      <c r="I1370" s="425" t="e">
        <v>#N/A</v>
      </c>
      <c r="J1370" s="91">
        <v>262.60507999999999</v>
      </c>
      <c r="K1370" s="425">
        <v>21613.498319999999</v>
      </c>
      <c r="L1370" s="542" t="s">
        <v>1025</v>
      </c>
    </row>
    <row r="1371" spans="1:12" ht="15">
      <c r="A1371">
        <v>390597</v>
      </c>
      <c r="B1371" t="e">
        <f t="shared" si="52"/>
        <v>#N/A</v>
      </c>
      <c r="C1371" s="209" t="e">
        <f t="shared" si="53"/>
        <v>#N/A</v>
      </c>
      <c r="D1371" t="s">
        <v>5120</v>
      </c>
      <c r="E1371" t="e">
        <v>#N/A</v>
      </c>
      <c r="F1371" t="e">
        <v>#N/A</v>
      </c>
      <c r="G1371" t="e">
        <v>#N/A</v>
      </c>
      <c r="H1371" s="214">
        <v>353.84973000000002</v>
      </c>
      <c r="I1371" s="425" t="e">
        <v>#N/A</v>
      </c>
      <c r="J1371" s="91">
        <v>56.87283</v>
      </c>
      <c r="K1371" s="425">
        <v>4680.8715300000003</v>
      </c>
      <c r="L1371" s="542" t="s">
        <v>1025</v>
      </c>
    </row>
    <row r="1372" spans="1:12" ht="15">
      <c r="A1372">
        <v>390598</v>
      </c>
      <c r="B1372" t="e">
        <f t="shared" si="52"/>
        <v>#N/A</v>
      </c>
      <c r="C1372" s="209" t="e">
        <f t="shared" si="53"/>
        <v>#N/A</v>
      </c>
      <c r="D1372" t="s">
        <v>5121</v>
      </c>
      <c r="E1372" t="e">
        <v>#N/A</v>
      </c>
      <c r="F1372" t="e">
        <v>#N/A</v>
      </c>
      <c r="G1372" t="e">
        <v>#N/A</v>
      </c>
      <c r="H1372" s="214">
        <v>562.29157999999995</v>
      </c>
      <c r="I1372" s="425" t="e">
        <v>#N/A</v>
      </c>
      <c r="J1372" s="91">
        <v>90.374830000000003</v>
      </c>
      <c r="K1372" s="425">
        <v>7438.2270699999999</v>
      </c>
      <c r="L1372" s="542" t="s">
        <v>1025</v>
      </c>
    </row>
    <row r="1373" spans="1:12" ht="15">
      <c r="A1373">
        <v>390599</v>
      </c>
      <c r="B1373" t="e">
        <f t="shared" si="52"/>
        <v>#N/A</v>
      </c>
      <c r="C1373" s="209" t="e">
        <f t="shared" si="53"/>
        <v>#N/A</v>
      </c>
      <c r="D1373" t="s">
        <v>5122</v>
      </c>
      <c r="E1373" t="e">
        <v>#N/A</v>
      </c>
      <c r="F1373" t="e">
        <v>#N/A</v>
      </c>
      <c r="G1373" t="e">
        <v>#N/A</v>
      </c>
      <c r="H1373" s="214">
        <v>812.27853000000005</v>
      </c>
      <c r="I1373" s="425" t="e">
        <v>#N/A</v>
      </c>
      <c r="J1373" s="91">
        <v>130.55420000000001</v>
      </c>
      <c r="K1373" s="425">
        <v>10745.158890000001</v>
      </c>
      <c r="L1373" s="542" t="s">
        <v>1025</v>
      </c>
    </row>
    <row r="1374" spans="1:12" ht="15">
      <c r="A1374">
        <v>390600</v>
      </c>
      <c r="B1374" t="e">
        <f t="shared" si="52"/>
        <v>#N/A</v>
      </c>
      <c r="C1374" s="209" t="e">
        <f t="shared" si="53"/>
        <v>#N/A</v>
      </c>
      <c r="D1374" t="s">
        <v>5123</v>
      </c>
      <c r="E1374" t="e">
        <v>#N/A</v>
      </c>
      <c r="F1374" t="e">
        <v>#N/A</v>
      </c>
      <c r="G1374" t="e">
        <v>#N/A</v>
      </c>
      <c r="H1374" s="214">
        <v>203.42778000000001</v>
      </c>
      <c r="I1374" s="425" t="e">
        <v>#N/A</v>
      </c>
      <c r="J1374" s="91">
        <v>32.696129999999997</v>
      </c>
      <c r="K1374" s="425">
        <v>2691.0275499999998</v>
      </c>
      <c r="L1374" s="542" t="s">
        <v>622</v>
      </c>
    </row>
    <row r="1375" spans="1:12" ht="15">
      <c r="A1375">
        <v>390601</v>
      </c>
      <c r="B1375" t="e">
        <f t="shared" si="52"/>
        <v>#N/A</v>
      </c>
      <c r="C1375" s="209" t="e">
        <f t="shared" si="53"/>
        <v>#N/A</v>
      </c>
      <c r="D1375" t="s">
        <v>5124</v>
      </c>
      <c r="E1375" t="e">
        <v>#N/A</v>
      </c>
      <c r="F1375" t="e">
        <v>#N/A</v>
      </c>
      <c r="G1375" t="e">
        <v>#N/A</v>
      </c>
      <c r="H1375" s="214">
        <v>75.210980000000006</v>
      </c>
      <c r="I1375" s="425" t="e">
        <v>#N/A</v>
      </c>
      <c r="J1375" s="91">
        <v>12.08835</v>
      </c>
      <c r="K1375" s="425">
        <v>994.92199000000005</v>
      </c>
      <c r="L1375" s="542" t="s">
        <v>1025</v>
      </c>
    </row>
    <row r="1376" spans="1:12" ht="15">
      <c r="A1376">
        <v>390800</v>
      </c>
      <c r="B1376" t="e">
        <f t="shared" si="52"/>
        <v>#N/A</v>
      </c>
      <c r="C1376" s="209" t="e">
        <f t="shared" si="53"/>
        <v>#N/A</v>
      </c>
      <c r="D1376" t="s">
        <v>5125</v>
      </c>
      <c r="E1376" t="e">
        <v>#N/A</v>
      </c>
      <c r="F1376" t="e">
        <v>#N/A</v>
      </c>
      <c r="G1376" t="e">
        <v>#N/A</v>
      </c>
      <c r="H1376" s="214">
        <v>0</v>
      </c>
      <c r="I1376" s="425" t="e">
        <v>#N/A</v>
      </c>
      <c r="J1376" s="91">
        <v>0</v>
      </c>
      <c r="K1376" s="425">
        <v>0</v>
      </c>
      <c r="L1376" s="542" t="s">
        <v>1025</v>
      </c>
    </row>
    <row r="1377" spans="1:12" ht="15">
      <c r="A1377">
        <v>390801</v>
      </c>
      <c r="B1377" t="e">
        <f t="shared" si="52"/>
        <v>#N/A</v>
      </c>
      <c r="C1377" s="209" t="e">
        <f t="shared" si="53"/>
        <v>#N/A</v>
      </c>
      <c r="D1377" t="s">
        <v>5126</v>
      </c>
      <c r="E1377" t="e">
        <v>#N/A</v>
      </c>
      <c r="F1377" t="e">
        <v>#N/A</v>
      </c>
      <c r="G1377" t="e">
        <v>#N/A</v>
      </c>
      <c r="H1377" s="214">
        <v>0</v>
      </c>
      <c r="I1377" s="425" t="e">
        <v>#N/A</v>
      </c>
      <c r="J1377" s="91">
        <v>0</v>
      </c>
      <c r="K1377" s="425">
        <v>0</v>
      </c>
      <c r="L1377" s="542" t="s">
        <v>1025</v>
      </c>
    </row>
    <row r="1378" spans="1:12" ht="15">
      <c r="A1378">
        <v>390802</v>
      </c>
      <c r="B1378" t="e">
        <f t="shared" si="52"/>
        <v>#N/A</v>
      </c>
      <c r="C1378" s="209" t="e">
        <f t="shared" si="53"/>
        <v>#N/A</v>
      </c>
      <c r="D1378" t="s">
        <v>5127</v>
      </c>
      <c r="E1378" t="e">
        <v>#N/A</v>
      </c>
      <c r="F1378" t="e">
        <v>#N/A</v>
      </c>
      <c r="G1378" t="e">
        <v>#N/A</v>
      </c>
      <c r="H1378" s="214">
        <v>0</v>
      </c>
      <c r="I1378" s="425" t="e">
        <v>#N/A</v>
      </c>
      <c r="J1378" s="91">
        <v>0</v>
      </c>
      <c r="K1378" s="425">
        <v>0</v>
      </c>
      <c r="L1378" s="542" t="s">
        <v>1025</v>
      </c>
    </row>
    <row r="1379" spans="1:12" ht="15">
      <c r="A1379">
        <v>390803</v>
      </c>
      <c r="B1379" t="e">
        <f t="shared" si="52"/>
        <v>#N/A</v>
      </c>
      <c r="C1379" s="209" t="e">
        <f t="shared" si="53"/>
        <v>#N/A</v>
      </c>
      <c r="D1379" t="s">
        <v>5128</v>
      </c>
      <c r="E1379" t="e">
        <v>#N/A</v>
      </c>
      <c r="F1379" t="e">
        <v>#N/A</v>
      </c>
      <c r="G1379" t="e">
        <v>#N/A</v>
      </c>
      <c r="H1379" s="214">
        <v>0</v>
      </c>
      <c r="I1379" s="425" t="e">
        <v>#N/A</v>
      </c>
      <c r="J1379" s="91">
        <v>0</v>
      </c>
      <c r="K1379" s="425">
        <v>0</v>
      </c>
      <c r="L1379" s="542" t="s">
        <v>1025</v>
      </c>
    </row>
    <row r="1380" spans="1:12" ht="15">
      <c r="A1380">
        <v>390804</v>
      </c>
      <c r="B1380" t="e">
        <f t="shared" si="52"/>
        <v>#N/A</v>
      </c>
      <c r="C1380" s="209" t="e">
        <f t="shared" si="53"/>
        <v>#N/A</v>
      </c>
      <c r="D1380" t="s">
        <v>5129</v>
      </c>
      <c r="E1380" t="e">
        <v>#N/A</v>
      </c>
      <c r="F1380" t="e">
        <v>#N/A</v>
      </c>
      <c r="G1380" t="e">
        <v>#N/A</v>
      </c>
      <c r="H1380" s="214">
        <v>0</v>
      </c>
      <c r="I1380" s="425" t="e">
        <v>#N/A</v>
      </c>
      <c r="J1380" s="91">
        <v>0</v>
      </c>
      <c r="K1380" s="425">
        <v>0</v>
      </c>
      <c r="L1380" s="542" t="s">
        <v>1025</v>
      </c>
    </row>
    <row r="1381" spans="1:12" ht="15">
      <c r="A1381">
        <v>390805</v>
      </c>
      <c r="B1381" t="e">
        <f t="shared" si="52"/>
        <v>#N/A</v>
      </c>
      <c r="C1381" s="209" t="e">
        <f t="shared" si="53"/>
        <v>#N/A</v>
      </c>
      <c r="D1381" t="s">
        <v>5130</v>
      </c>
      <c r="E1381" t="e">
        <v>#N/A</v>
      </c>
      <c r="F1381" t="e">
        <v>#N/A</v>
      </c>
      <c r="G1381" t="e">
        <v>#N/A</v>
      </c>
      <c r="H1381" s="214">
        <v>0</v>
      </c>
      <c r="I1381" s="425" t="e">
        <v>#N/A</v>
      </c>
      <c r="J1381" s="91">
        <v>0</v>
      </c>
      <c r="K1381" s="425">
        <v>0</v>
      </c>
      <c r="L1381" s="542" t="s">
        <v>1025</v>
      </c>
    </row>
    <row r="1382" spans="1:12" ht="15">
      <c r="A1382">
        <v>390806</v>
      </c>
      <c r="B1382" t="e">
        <f t="shared" si="52"/>
        <v>#N/A</v>
      </c>
      <c r="C1382" s="209" t="e">
        <f t="shared" si="53"/>
        <v>#N/A</v>
      </c>
      <c r="D1382" t="s">
        <v>5131</v>
      </c>
      <c r="E1382" t="e">
        <v>#N/A</v>
      </c>
      <c r="F1382" t="e">
        <v>#N/A</v>
      </c>
      <c r="G1382" t="e">
        <v>#N/A</v>
      </c>
      <c r="H1382" s="214">
        <v>0</v>
      </c>
      <c r="I1382" s="425" t="e">
        <v>#N/A</v>
      </c>
      <c r="J1382" s="91">
        <v>0</v>
      </c>
      <c r="K1382" s="425">
        <v>0</v>
      </c>
      <c r="L1382" s="542" t="s">
        <v>1025</v>
      </c>
    </row>
    <row r="1383" spans="1:12" ht="15">
      <c r="A1383">
        <v>390807</v>
      </c>
      <c r="B1383" t="e">
        <f t="shared" si="52"/>
        <v>#N/A</v>
      </c>
      <c r="C1383" s="209" t="e">
        <f t="shared" si="53"/>
        <v>#N/A</v>
      </c>
      <c r="D1383" t="s">
        <v>5132</v>
      </c>
      <c r="E1383" t="e">
        <v>#N/A</v>
      </c>
      <c r="F1383" t="e">
        <v>#N/A</v>
      </c>
      <c r="G1383" t="e">
        <v>#N/A</v>
      </c>
      <c r="H1383" s="214">
        <v>0</v>
      </c>
      <c r="I1383" s="425" t="e">
        <v>#N/A</v>
      </c>
      <c r="J1383" s="91">
        <v>0</v>
      </c>
      <c r="K1383" s="425">
        <v>0</v>
      </c>
      <c r="L1383" s="542" t="s">
        <v>1025</v>
      </c>
    </row>
    <row r="1384" spans="1:12" ht="15">
      <c r="A1384">
        <v>390808</v>
      </c>
      <c r="B1384" t="e">
        <f t="shared" si="52"/>
        <v>#N/A</v>
      </c>
      <c r="C1384" s="209" t="e">
        <f t="shared" si="53"/>
        <v>#N/A</v>
      </c>
      <c r="D1384" t="s">
        <v>5133</v>
      </c>
      <c r="E1384" t="e">
        <v>#N/A</v>
      </c>
      <c r="F1384" t="e">
        <v>#N/A</v>
      </c>
      <c r="G1384" t="e">
        <v>#N/A</v>
      </c>
      <c r="H1384" s="214">
        <v>0</v>
      </c>
      <c r="I1384" s="425" t="e">
        <v>#N/A</v>
      </c>
      <c r="J1384" s="91">
        <v>0</v>
      </c>
      <c r="K1384" s="425">
        <v>0</v>
      </c>
      <c r="L1384" s="542" t="s">
        <v>1025</v>
      </c>
    </row>
    <row r="1385" spans="1:12" ht="15">
      <c r="A1385">
        <v>390809</v>
      </c>
      <c r="B1385" t="e">
        <f t="shared" si="52"/>
        <v>#N/A</v>
      </c>
      <c r="C1385" s="209" t="e">
        <f t="shared" si="53"/>
        <v>#N/A</v>
      </c>
      <c r="D1385" t="s">
        <v>5134</v>
      </c>
      <c r="E1385" t="e">
        <v>#N/A</v>
      </c>
      <c r="F1385" t="e">
        <v>#N/A</v>
      </c>
      <c r="G1385" t="e">
        <v>#N/A</v>
      </c>
      <c r="H1385" s="214">
        <v>0</v>
      </c>
      <c r="I1385" s="425" t="e">
        <v>#N/A</v>
      </c>
      <c r="J1385" s="91">
        <v>0</v>
      </c>
      <c r="K1385" s="425">
        <v>0</v>
      </c>
      <c r="L1385" s="542" t="s">
        <v>1025</v>
      </c>
    </row>
    <row r="1386" spans="1:12" ht="15">
      <c r="A1386">
        <v>390810</v>
      </c>
      <c r="B1386" t="e">
        <f t="shared" si="52"/>
        <v>#N/A</v>
      </c>
      <c r="C1386" s="209" t="e">
        <f t="shared" si="53"/>
        <v>#N/A</v>
      </c>
      <c r="D1386" t="s">
        <v>5135</v>
      </c>
      <c r="E1386" t="e">
        <v>#N/A</v>
      </c>
      <c r="F1386" t="e">
        <v>#N/A</v>
      </c>
      <c r="G1386" t="e">
        <v>#N/A</v>
      </c>
      <c r="H1386" s="214">
        <v>0</v>
      </c>
      <c r="I1386" s="425" t="e">
        <v>#N/A</v>
      </c>
      <c r="J1386" s="91">
        <v>0</v>
      </c>
      <c r="K1386" s="425">
        <v>0</v>
      </c>
      <c r="L1386" s="542" t="s">
        <v>1025</v>
      </c>
    </row>
    <row r="1387" spans="1:12" ht="15">
      <c r="A1387">
        <v>390811</v>
      </c>
      <c r="B1387" t="e">
        <f t="shared" si="52"/>
        <v>#N/A</v>
      </c>
      <c r="C1387" s="209" t="e">
        <f t="shared" si="53"/>
        <v>#N/A</v>
      </c>
      <c r="D1387" t="s">
        <v>5136</v>
      </c>
      <c r="E1387" t="e">
        <v>#N/A</v>
      </c>
      <c r="F1387" t="e">
        <v>#N/A</v>
      </c>
      <c r="G1387" t="e">
        <v>#N/A</v>
      </c>
      <c r="H1387" s="214">
        <v>0</v>
      </c>
      <c r="I1387" s="425" t="e">
        <v>#N/A</v>
      </c>
      <c r="J1387" s="91">
        <v>0</v>
      </c>
      <c r="K1387" s="425">
        <v>0</v>
      </c>
      <c r="L1387" s="542" t="s">
        <v>1025</v>
      </c>
    </row>
    <row r="1388" spans="1:12" ht="15">
      <c r="A1388">
        <v>227385</v>
      </c>
      <c r="B1388" t="e">
        <f t="shared" si="52"/>
        <v>#N/A</v>
      </c>
      <c r="C1388" s="209" t="e">
        <f t="shared" si="53"/>
        <v>#N/A</v>
      </c>
      <c r="D1388" t="s">
        <v>5137</v>
      </c>
      <c r="E1388" t="e">
        <v>#N/A</v>
      </c>
      <c r="F1388" t="e">
        <v>#N/A</v>
      </c>
      <c r="G1388" t="e">
        <v>#N/A</v>
      </c>
      <c r="H1388" s="214">
        <v>320.25</v>
      </c>
      <c r="I1388" s="425" t="e">
        <v>#N/A</v>
      </c>
      <c r="J1388" s="91">
        <v>72.205929999999995</v>
      </c>
      <c r="K1388" s="425">
        <v>6154.7980600000001</v>
      </c>
      <c r="L1388" s="542" t="s">
        <v>622</v>
      </c>
    </row>
    <row r="1389" spans="1:12" ht="15">
      <c r="A1389">
        <v>227387</v>
      </c>
      <c r="B1389" t="e">
        <f t="shared" si="52"/>
        <v>#N/A</v>
      </c>
      <c r="C1389" s="209" t="e">
        <f t="shared" si="53"/>
        <v>#N/A</v>
      </c>
      <c r="D1389" t="s">
        <v>5138</v>
      </c>
      <c r="E1389" t="e">
        <v>#N/A</v>
      </c>
      <c r="F1389" t="e">
        <v>#N/A</v>
      </c>
      <c r="G1389" t="e">
        <v>#N/A</v>
      </c>
      <c r="H1389" s="214">
        <v>344.75</v>
      </c>
      <c r="I1389" s="425" t="e">
        <v>#N/A</v>
      </c>
      <c r="J1389" s="91">
        <v>77.729879999999994</v>
      </c>
      <c r="K1389" s="425">
        <v>6625.6569099999997</v>
      </c>
      <c r="L1389" s="542" t="s">
        <v>622</v>
      </c>
    </row>
    <row r="1390" spans="1:12" ht="15">
      <c r="A1390">
        <v>227390</v>
      </c>
      <c r="B1390" t="e">
        <f t="shared" si="52"/>
        <v>#N/A</v>
      </c>
      <c r="C1390" s="209" t="e">
        <f t="shared" si="53"/>
        <v>#N/A</v>
      </c>
      <c r="D1390" t="s">
        <v>5139</v>
      </c>
      <c r="E1390" t="e">
        <v>#N/A</v>
      </c>
      <c r="F1390" t="e">
        <v>#N/A</v>
      </c>
      <c r="G1390" t="e">
        <v>#N/A</v>
      </c>
      <c r="H1390" s="214">
        <v>192.5</v>
      </c>
      <c r="I1390" s="425" t="e">
        <v>#N/A</v>
      </c>
      <c r="J1390" s="91">
        <v>43.402470000000001</v>
      </c>
      <c r="K1390" s="425">
        <v>3699.6053900000002</v>
      </c>
      <c r="L1390" s="542" t="s">
        <v>622</v>
      </c>
    </row>
    <row r="1391" spans="1:12" ht="15">
      <c r="A1391">
        <v>227391</v>
      </c>
      <c r="B1391" t="e">
        <f t="shared" si="52"/>
        <v>#N/A</v>
      </c>
      <c r="C1391" s="209" t="e">
        <f t="shared" si="53"/>
        <v>#N/A</v>
      </c>
      <c r="D1391" t="s">
        <v>5140</v>
      </c>
      <c r="E1391" t="e">
        <v>#N/A</v>
      </c>
      <c r="F1391" t="e">
        <v>#N/A</v>
      </c>
      <c r="G1391" t="e">
        <v>#N/A</v>
      </c>
      <c r="H1391" s="214">
        <v>292.41699999999997</v>
      </c>
      <c r="I1391" s="425" t="e">
        <v>#N/A</v>
      </c>
      <c r="J1391" s="91">
        <v>34.588949999999997</v>
      </c>
      <c r="K1391" s="425">
        <v>3016.9611</v>
      </c>
      <c r="L1391" s="542" t="s">
        <v>622</v>
      </c>
    </row>
    <row r="1392" spans="1:12" ht="15">
      <c r="A1392">
        <v>462027</v>
      </c>
      <c r="B1392" t="str">
        <f t="shared" si="52"/>
        <v>SEVROLL maska Elegant II 4,05m oliva new</v>
      </c>
      <c r="C1392" s="209">
        <f t="shared" si="53"/>
        <v>7.9543200000000001</v>
      </c>
      <c r="D1392" t="s">
        <v>5141</v>
      </c>
      <c r="E1392" t="s">
        <v>6345</v>
      </c>
      <c r="F1392" t="s">
        <v>6969</v>
      </c>
      <c r="G1392" t="s">
        <v>7514</v>
      </c>
      <c r="H1392" s="214">
        <v>231.31389999999999</v>
      </c>
      <c r="I1392" s="425">
        <v>7.9543200000000001</v>
      </c>
      <c r="J1392" s="91">
        <v>26.38</v>
      </c>
      <c r="K1392" s="425">
        <v>2491.6325900000002</v>
      </c>
      <c r="L1392" s="542" t="s">
        <v>621</v>
      </c>
    </row>
    <row r="1393" spans="1:12" ht="15">
      <c r="A1393">
        <v>462028</v>
      </c>
      <c r="B1393" t="str">
        <f t="shared" si="52"/>
        <v>SEVROLL maska Elegant II 6m oliva new</v>
      </c>
      <c r="C1393" s="209">
        <f t="shared" si="53"/>
        <v>11.786860000000001</v>
      </c>
      <c r="D1393" t="s">
        <v>5142</v>
      </c>
      <c r="E1393" t="s">
        <v>6346</v>
      </c>
      <c r="F1393" t="s">
        <v>6970</v>
      </c>
      <c r="G1393" t="s">
        <v>7515</v>
      </c>
      <c r="H1393" s="214">
        <v>340.05808000000002</v>
      </c>
      <c r="I1393" s="425">
        <v>11.786860000000001</v>
      </c>
      <c r="J1393" s="91">
        <v>39.06</v>
      </c>
      <c r="K1393" s="425">
        <v>3693.0994599999999</v>
      </c>
      <c r="L1393" s="542" t="s">
        <v>621</v>
      </c>
    </row>
    <row r="1394" spans="1:12" ht="15">
      <c r="A1394">
        <v>462029</v>
      </c>
      <c r="B1394" t="str">
        <f t="shared" si="52"/>
        <v>SEVROLL Blue horné vedenie 2m oliva new</v>
      </c>
      <c r="C1394" s="209">
        <f t="shared" si="53"/>
        <v>21.471419999999998</v>
      </c>
      <c r="D1394" t="s">
        <v>5143</v>
      </c>
      <c r="E1394" t="s">
        <v>6347</v>
      </c>
      <c r="F1394" t="s">
        <v>6971</v>
      </c>
      <c r="G1394" t="s">
        <v>7516</v>
      </c>
      <c r="H1394" s="214">
        <v>478.13220000000001</v>
      </c>
      <c r="I1394" s="425">
        <v>21.471419999999998</v>
      </c>
      <c r="J1394" s="91">
        <v>52.990609999999997</v>
      </c>
      <c r="K1394" s="425">
        <v>5136.4723800000002</v>
      </c>
      <c r="L1394" s="542" t="s">
        <v>621</v>
      </c>
    </row>
    <row r="1395" spans="1:12" ht="15">
      <c r="A1395">
        <v>462030</v>
      </c>
      <c r="B1395" t="str">
        <f t="shared" si="52"/>
        <v>SEVROLL Blue horné vedenie 2,5m oliva new new</v>
      </c>
      <c r="C1395" s="209">
        <f t="shared" si="53"/>
        <v>26.648540000000001</v>
      </c>
      <c r="D1395" t="s">
        <v>5144</v>
      </c>
      <c r="E1395" t="s">
        <v>6348</v>
      </c>
      <c r="F1395" t="s">
        <v>6972</v>
      </c>
      <c r="G1395" t="s">
        <v>7517</v>
      </c>
      <c r="H1395" s="214">
        <v>593.72460000000001</v>
      </c>
      <c r="I1395" s="425">
        <v>26.648540000000001</v>
      </c>
      <c r="J1395" s="91">
        <v>71.441670000000002</v>
      </c>
      <c r="K1395" s="425">
        <v>6378.2569000000003</v>
      </c>
      <c r="L1395" s="542" t="s">
        <v>622</v>
      </c>
    </row>
    <row r="1396" spans="1:12" ht="15">
      <c r="A1396">
        <v>462031</v>
      </c>
      <c r="B1396" t="str">
        <f t="shared" si="52"/>
        <v>SEVROLL Blue horné vedenie 3m oliva new</v>
      </c>
      <c r="C1396" s="209">
        <f t="shared" si="53"/>
        <v>31.79842</v>
      </c>
      <c r="D1396" t="s">
        <v>5145</v>
      </c>
      <c r="E1396" t="s">
        <v>6349</v>
      </c>
      <c r="F1396" t="s">
        <v>6973</v>
      </c>
      <c r="G1396" t="s">
        <v>7518</v>
      </c>
      <c r="H1396" s="214">
        <v>708.56640000000004</v>
      </c>
      <c r="I1396" s="425">
        <v>31.79842</v>
      </c>
      <c r="J1396" s="91">
        <v>78.529269999999997</v>
      </c>
      <c r="K1396" s="425">
        <v>7611.9778999999999</v>
      </c>
      <c r="L1396" s="542" t="s">
        <v>621</v>
      </c>
    </row>
    <row r="1397" spans="1:12" ht="15">
      <c r="A1397">
        <v>462032</v>
      </c>
      <c r="B1397" t="str">
        <f t="shared" si="52"/>
        <v>SEVROLL Blue horné vedenie 4m oliva new</v>
      </c>
      <c r="C1397" s="209">
        <f t="shared" si="53"/>
        <v>42.370640000000002</v>
      </c>
      <c r="D1397" t="s">
        <v>5146</v>
      </c>
      <c r="E1397" t="s">
        <v>6350</v>
      </c>
      <c r="F1397" t="s">
        <v>6974</v>
      </c>
      <c r="G1397" t="s">
        <v>7519</v>
      </c>
      <c r="H1397" s="214">
        <v>944.25480000000005</v>
      </c>
      <c r="I1397" s="425">
        <v>42.370640000000002</v>
      </c>
      <c r="J1397" s="91">
        <v>108.91</v>
      </c>
      <c r="K1397" s="425">
        <v>10143.928180000001</v>
      </c>
      <c r="L1397" s="542" t="s">
        <v>621</v>
      </c>
    </row>
    <row r="1398" spans="1:12" ht="15">
      <c r="A1398">
        <v>462033</v>
      </c>
      <c r="B1398" t="str">
        <f t="shared" ref="B1398:B1432" si="54">IF($A$2=1,D1398,IF($A$2=2,F1398,IF($A$2=3,G1398,IF($A$2=4,E1398,"zadat jazyk"))))</f>
        <v>SEVROLL Blue-V spodné vedenie 2,5m oliva new new</v>
      </c>
      <c r="C1398" s="209">
        <f t="shared" ref="C1398:C1432" si="55">IF($A$2=1,H1398,IF($A$2=2,I1398,IF($A$2=3,J1398,IF($A$2=4,K1398,"zadat jazyk"))))</f>
        <v>13.89648</v>
      </c>
      <c r="D1398" t="s">
        <v>5147</v>
      </c>
      <c r="E1398" t="s">
        <v>6351</v>
      </c>
      <c r="F1398" t="s">
        <v>6975</v>
      </c>
      <c r="G1398" t="s">
        <v>7520</v>
      </c>
      <c r="H1398" s="214">
        <v>304.74360000000001</v>
      </c>
      <c r="I1398" s="425">
        <v>13.89648</v>
      </c>
      <c r="J1398" s="91">
        <v>41.336620000000003</v>
      </c>
      <c r="K1398" s="425">
        <v>3273.7955900000002</v>
      </c>
      <c r="L1398" s="542" t="s">
        <v>622</v>
      </c>
    </row>
    <row r="1399" spans="1:12" ht="15">
      <c r="A1399">
        <v>462034</v>
      </c>
      <c r="B1399" t="str">
        <f t="shared" si="54"/>
        <v>SEVROLL Blue-V spodné vedenie 1,5m oliva new new</v>
      </c>
      <c r="C1399" s="209">
        <f t="shared" si="55"/>
        <v>8.4741300000000006</v>
      </c>
      <c r="D1399" t="s">
        <v>5148</v>
      </c>
      <c r="E1399" t="s">
        <v>6352</v>
      </c>
      <c r="F1399" t="s">
        <v>6976</v>
      </c>
      <c r="G1399" t="s">
        <v>7521</v>
      </c>
      <c r="H1399" s="214">
        <v>186.14879999999999</v>
      </c>
      <c r="I1399" s="425">
        <v>8.4741300000000006</v>
      </c>
      <c r="J1399" s="91">
        <v>25.501539999999999</v>
      </c>
      <c r="K1399" s="425">
        <v>1999.7569000000001</v>
      </c>
      <c r="L1399" s="542" t="s">
        <v>622</v>
      </c>
    </row>
    <row r="1400" spans="1:12" ht="15">
      <c r="A1400">
        <v>462035</v>
      </c>
      <c r="B1400" t="str">
        <f t="shared" si="54"/>
        <v>SEVROLL Blue-V spodné vedenie 3m oliva new</v>
      </c>
      <c r="C1400" s="209">
        <f t="shared" si="55"/>
        <v>16.457789999999999</v>
      </c>
      <c r="D1400" t="s">
        <v>5149</v>
      </c>
      <c r="E1400" t="s">
        <v>6353</v>
      </c>
      <c r="F1400" t="s">
        <v>6977</v>
      </c>
      <c r="G1400" t="s">
        <v>7522</v>
      </c>
      <c r="H1400" s="214">
        <v>361.03859999999997</v>
      </c>
      <c r="I1400" s="425">
        <v>16.457789999999999</v>
      </c>
      <c r="J1400" s="91">
        <v>56.46</v>
      </c>
      <c r="K1400" s="425">
        <v>3878.56077</v>
      </c>
      <c r="L1400" s="542" t="s">
        <v>621</v>
      </c>
    </row>
    <row r="1401" spans="1:12" ht="15">
      <c r="A1401">
        <v>462036</v>
      </c>
      <c r="B1401" t="str">
        <f t="shared" si="54"/>
        <v>SEVROLL Blue-V spodné vedenie 4m oliva new</v>
      </c>
      <c r="C1401" s="209">
        <f t="shared" si="55"/>
        <v>21.907389999999999</v>
      </c>
      <c r="D1401" t="s">
        <v>5150</v>
      </c>
      <c r="E1401" t="s">
        <v>6354</v>
      </c>
      <c r="F1401" t="s">
        <v>6978</v>
      </c>
      <c r="G1401" t="s">
        <v>7523</v>
      </c>
      <c r="H1401" s="214">
        <v>481.13459999999998</v>
      </c>
      <c r="I1401" s="425">
        <v>21.907389999999999</v>
      </c>
      <c r="J1401" s="91">
        <v>75.25</v>
      </c>
      <c r="K1401" s="425">
        <v>5168.7265100000004</v>
      </c>
      <c r="L1401" s="542" t="s">
        <v>621</v>
      </c>
    </row>
    <row r="1402" spans="1:12" ht="15">
      <c r="A1402">
        <v>462037</v>
      </c>
      <c r="B1402" t="str">
        <f t="shared" si="54"/>
        <v>SEVROLL Blue-C spodné vedenie 2m oliva new new</v>
      </c>
      <c r="C1402" s="209">
        <f t="shared" si="55"/>
        <v>8.5558700000000005</v>
      </c>
      <c r="D1402" t="s">
        <v>5151</v>
      </c>
      <c r="E1402" t="s">
        <v>6355</v>
      </c>
      <c r="F1402" t="s">
        <v>6979</v>
      </c>
      <c r="G1402" t="s">
        <v>7524</v>
      </c>
      <c r="H1402" s="214">
        <v>195.15600000000001</v>
      </c>
      <c r="I1402" s="425">
        <v>8.5558700000000005</v>
      </c>
      <c r="J1402" s="91">
        <v>25.777229999999999</v>
      </c>
      <c r="K1402" s="425">
        <v>2096.5193300000001</v>
      </c>
      <c r="L1402" s="542" t="s">
        <v>622</v>
      </c>
    </row>
    <row r="1403" spans="1:12" ht="15">
      <c r="A1403">
        <v>462038</v>
      </c>
      <c r="B1403" t="str">
        <f t="shared" si="54"/>
        <v>SEVROLL Blue-C spodné vedenie 2,5m oliva new new</v>
      </c>
      <c r="C1403" s="209">
        <f t="shared" si="55"/>
        <v>10.51773</v>
      </c>
      <c r="D1403" t="s">
        <v>5152</v>
      </c>
      <c r="E1403" t="s">
        <v>6356</v>
      </c>
      <c r="F1403" t="s">
        <v>6980</v>
      </c>
      <c r="G1403" t="s">
        <v>7525</v>
      </c>
      <c r="H1403" s="214">
        <v>239.44139999999999</v>
      </c>
      <c r="I1403" s="425">
        <v>10.51773</v>
      </c>
      <c r="J1403" s="91">
        <v>31.790769999999998</v>
      </c>
      <c r="K1403" s="425">
        <v>2572.2679499999999</v>
      </c>
      <c r="L1403" s="542" t="s">
        <v>622</v>
      </c>
    </row>
    <row r="1404" spans="1:12" ht="15">
      <c r="A1404">
        <v>462039</v>
      </c>
      <c r="B1404" t="str">
        <f t="shared" si="54"/>
        <v>SEVROLL Blue-C spodné vedenie 3m oliva new new</v>
      </c>
      <c r="C1404" s="209">
        <f t="shared" si="55"/>
        <v>12.534079999999999</v>
      </c>
      <c r="D1404" t="s">
        <v>5153</v>
      </c>
      <c r="E1404" t="s">
        <v>6357</v>
      </c>
      <c r="F1404" t="s">
        <v>6981</v>
      </c>
      <c r="G1404" t="s">
        <v>7526</v>
      </c>
      <c r="H1404" s="214">
        <v>285.22800000000001</v>
      </c>
      <c r="I1404" s="425">
        <v>12.534079999999999</v>
      </c>
      <c r="J1404" s="91">
        <v>37.683689999999999</v>
      </c>
      <c r="K1404" s="425">
        <v>3064.1436399999998</v>
      </c>
      <c r="L1404" s="542" t="s">
        <v>622</v>
      </c>
    </row>
    <row r="1405" spans="1:12" ht="15">
      <c r="A1405">
        <v>462040</v>
      </c>
      <c r="B1405" t="str">
        <f t="shared" si="54"/>
        <v>SEVROLL Blue-C spodné vedenie 4m oliva new new</v>
      </c>
      <c r="C1405" s="209">
        <f t="shared" si="55"/>
        <v>16.648530000000001</v>
      </c>
      <c r="D1405" t="s">
        <v>5154</v>
      </c>
      <c r="E1405" t="s">
        <v>6358</v>
      </c>
      <c r="F1405" t="s">
        <v>6982</v>
      </c>
      <c r="G1405" t="s">
        <v>7527</v>
      </c>
      <c r="H1405" s="214">
        <v>379.053</v>
      </c>
      <c r="I1405" s="425">
        <v>16.648530000000001</v>
      </c>
      <c r="J1405" s="91">
        <v>50.19323</v>
      </c>
      <c r="K1405" s="425">
        <v>4072.0856399999998</v>
      </c>
      <c r="L1405" s="542" t="s">
        <v>622</v>
      </c>
    </row>
    <row r="1406" spans="1:12" ht="15">
      <c r="A1406">
        <v>462041</v>
      </c>
      <c r="B1406" t="str">
        <f t="shared" si="54"/>
        <v>SEVROLL Blue-C spodné vedenie 6m oliva new new</v>
      </c>
      <c r="C1406" s="209">
        <f t="shared" si="55"/>
        <v>25.068159999999999</v>
      </c>
      <c r="D1406" t="s">
        <v>5155</v>
      </c>
      <c r="E1406" t="s">
        <v>6359</v>
      </c>
      <c r="F1406" t="s">
        <v>6983</v>
      </c>
      <c r="G1406" t="s">
        <v>7528</v>
      </c>
      <c r="H1406" s="214">
        <v>571.20659999999998</v>
      </c>
      <c r="I1406" s="425">
        <v>25.068159999999999</v>
      </c>
      <c r="J1406" s="91">
        <v>75.798150000000007</v>
      </c>
      <c r="K1406" s="425">
        <v>6136.3508199999997</v>
      </c>
      <c r="L1406" s="542" t="s">
        <v>622</v>
      </c>
    </row>
    <row r="1407" spans="1:12" ht="15">
      <c r="A1407">
        <v>462042</v>
      </c>
      <c r="B1407" t="str">
        <f t="shared" si="54"/>
        <v>SEVROLL Elegant II spodné vedenie 6m oliva new</v>
      </c>
      <c r="C1407" s="209">
        <f t="shared" si="55"/>
        <v>38.49409</v>
      </c>
      <c r="D1407" t="s">
        <v>5156</v>
      </c>
      <c r="E1407" t="s">
        <v>6360</v>
      </c>
      <c r="F1407" t="s">
        <v>6984</v>
      </c>
      <c r="G1407" t="s">
        <v>7529</v>
      </c>
      <c r="H1407" s="214">
        <v>1033.3593599999999</v>
      </c>
      <c r="I1407" s="425">
        <v>38.49409</v>
      </c>
      <c r="J1407" s="91">
        <v>141.31</v>
      </c>
      <c r="K1407" s="425">
        <v>11708.254150000001</v>
      </c>
      <c r="L1407" s="542" t="s">
        <v>621</v>
      </c>
    </row>
    <row r="1408" spans="1:12" ht="15">
      <c r="A1408">
        <v>462043</v>
      </c>
      <c r="B1408" t="str">
        <f t="shared" si="54"/>
        <v>SEVROLL Vitara úchytová lišta 2,7m oliva new new</v>
      </c>
      <c r="C1408" s="209">
        <f t="shared" si="55"/>
        <v>16.896899999999999</v>
      </c>
      <c r="D1408" t="s">
        <v>5157</v>
      </c>
      <c r="E1408" t="s">
        <v>6361</v>
      </c>
      <c r="F1408" t="s">
        <v>6985</v>
      </c>
      <c r="G1408" t="s">
        <v>7530</v>
      </c>
      <c r="H1408" s="214">
        <v>453.34016000000003</v>
      </c>
      <c r="I1408" s="425">
        <v>16.896899999999999</v>
      </c>
      <c r="J1408" s="91">
        <v>59.516919999999999</v>
      </c>
      <c r="K1408" s="425">
        <v>5136.4723800000002</v>
      </c>
      <c r="L1408" s="542" t="s">
        <v>621</v>
      </c>
    </row>
    <row r="1409" spans="1:12" ht="15">
      <c r="A1409">
        <v>462044</v>
      </c>
      <c r="B1409" t="str">
        <f t="shared" si="54"/>
        <v>SEVROLL Maxim horné vedenie 1,8m oliva new new</v>
      </c>
      <c r="C1409" s="209">
        <f t="shared" si="55"/>
        <v>18.560079999999999</v>
      </c>
      <c r="D1409" t="s">
        <v>5158</v>
      </c>
      <c r="E1409" t="s">
        <v>6362</v>
      </c>
      <c r="F1409" t="s">
        <v>6986</v>
      </c>
      <c r="G1409" t="s">
        <v>7531</v>
      </c>
      <c r="H1409" s="214">
        <v>534.47167999999999</v>
      </c>
      <c r="I1409" s="425">
        <v>18.560079999999999</v>
      </c>
      <c r="J1409" s="91">
        <v>67.828940000000003</v>
      </c>
      <c r="K1409" s="425">
        <v>6055.7154600000003</v>
      </c>
      <c r="L1409" s="542" t="s">
        <v>622</v>
      </c>
    </row>
    <row r="1410" spans="1:12" ht="15">
      <c r="A1410">
        <v>462045</v>
      </c>
      <c r="B1410" t="str">
        <f t="shared" si="54"/>
        <v>SEVROLL Porto úchytová lišta 3m oliva new new</v>
      </c>
      <c r="C1410" s="209">
        <f t="shared" si="55"/>
        <v>31.865490000000001</v>
      </c>
      <c r="D1410" t="s">
        <v>5159</v>
      </c>
      <c r="E1410" t="s">
        <v>6363</v>
      </c>
      <c r="F1410" t="s">
        <v>6987</v>
      </c>
      <c r="G1410" t="s">
        <v>7532</v>
      </c>
      <c r="H1410" s="214">
        <v>918.06719999999996</v>
      </c>
      <c r="I1410" s="425">
        <v>31.865490000000001</v>
      </c>
      <c r="J1410" s="91">
        <v>116.51043</v>
      </c>
      <c r="K1410" s="425">
        <v>10401.96133</v>
      </c>
      <c r="L1410" s="542" t="s">
        <v>622</v>
      </c>
    </row>
    <row r="1411" spans="1:12" ht="15">
      <c r="A1411">
        <v>462046</v>
      </c>
      <c r="B1411" t="str">
        <f t="shared" si="54"/>
        <v>SEVROLL Maxim horné vedenie 1,8m oliva new new</v>
      </c>
      <c r="C1411" s="209">
        <f t="shared" si="55"/>
        <v>25.502030000000001</v>
      </c>
      <c r="D1411" t="s">
        <v>5160</v>
      </c>
      <c r="E1411" t="s">
        <v>6364</v>
      </c>
      <c r="F1411" t="s">
        <v>6986</v>
      </c>
      <c r="G1411" t="s">
        <v>7531</v>
      </c>
      <c r="H1411" s="214">
        <v>735.16543999999999</v>
      </c>
      <c r="I1411" s="425">
        <v>25.502030000000001</v>
      </c>
      <c r="J1411" s="91">
        <v>93.298659999999998</v>
      </c>
      <c r="K1411" s="425">
        <v>8329.6325899999993</v>
      </c>
      <c r="L1411" s="542" t="s">
        <v>622</v>
      </c>
    </row>
    <row r="1412" spans="1:12" ht="15">
      <c r="A1412">
        <v>462140</v>
      </c>
      <c r="B1412" t="str">
        <f t="shared" si="54"/>
        <v>SEVROLL Alfa II lišta 18mm 100m čierna mat</v>
      </c>
      <c r="C1412" s="209">
        <f t="shared" si="55"/>
        <v>0.31680999999999998</v>
      </c>
      <c r="D1412" t="s">
        <v>5161</v>
      </c>
      <c r="E1412" t="s">
        <v>6365</v>
      </c>
      <c r="F1412" t="s">
        <v>6988</v>
      </c>
      <c r="G1412" t="s">
        <v>7533</v>
      </c>
      <c r="H1412" s="214">
        <v>11.209530000000001</v>
      </c>
      <c r="I1412" s="425">
        <v>0.31680999999999998</v>
      </c>
      <c r="J1412" s="91">
        <v>1.32257</v>
      </c>
      <c r="K1412" s="425">
        <v>120.86087999999999</v>
      </c>
      <c r="L1412" s="542" t="s">
        <v>624</v>
      </c>
    </row>
    <row r="1413" spans="1:12" ht="15">
      <c r="A1413">
        <v>462141</v>
      </c>
      <c r="B1413" t="str">
        <f t="shared" si="54"/>
        <v>SEVROLL Faworyt II úchytová liš.100mm biela mat</v>
      </c>
      <c r="C1413" s="209">
        <f t="shared" si="55"/>
        <v>0.31263999999999997</v>
      </c>
      <c r="D1413" t="s">
        <v>5162</v>
      </c>
      <c r="E1413" t="s">
        <v>6366</v>
      </c>
      <c r="F1413" t="s">
        <v>6989</v>
      </c>
      <c r="G1413" t="s">
        <v>7534</v>
      </c>
      <c r="H1413" s="214">
        <v>11.062099999999999</v>
      </c>
      <c r="I1413" s="425">
        <v>0.31263999999999997</v>
      </c>
      <c r="J1413" s="91">
        <v>1.3051699999999999</v>
      </c>
      <c r="K1413" s="425">
        <v>119.27122</v>
      </c>
      <c r="L1413" s="542" t="s">
        <v>624</v>
      </c>
    </row>
    <row r="1414" spans="1:12" ht="15">
      <c r="A1414">
        <v>462142</v>
      </c>
      <c r="B1414" t="str">
        <f t="shared" si="54"/>
        <v>SEVROLL Fox II úch.lišta 100mm čierna lesk</v>
      </c>
      <c r="C1414" s="209">
        <f t="shared" si="55"/>
        <v>0.37302999999999997</v>
      </c>
      <c r="D1414" t="s">
        <v>5163</v>
      </c>
      <c r="E1414" t="s">
        <v>6367</v>
      </c>
      <c r="F1414" t="s">
        <v>6990</v>
      </c>
      <c r="G1414" t="s">
        <v>7535</v>
      </c>
      <c r="H1414" s="214">
        <v>13.198869999999999</v>
      </c>
      <c r="I1414" s="425">
        <v>0.37302999999999997</v>
      </c>
      <c r="J1414" s="91">
        <v>1.55728</v>
      </c>
      <c r="K1414" s="425">
        <v>142.3099</v>
      </c>
      <c r="L1414" s="542" t="s">
        <v>624</v>
      </c>
    </row>
    <row r="1415" spans="1:12" ht="15">
      <c r="A1415">
        <v>462153</v>
      </c>
      <c r="B1415" t="str">
        <f t="shared" si="54"/>
        <v/>
      </c>
      <c r="C1415" s="209">
        <f t="shared" si="55"/>
        <v>0.24016999999999999</v>
      </c>
      <c r="D1415" t="s">
        <v>5164</v>
      </c>
      <c r="E1415" t="s">
        <v>6368</v>
      </c>
      <c r="F1415" t="s">
        <v>84</v>
      </c>
      <c r="G1415" t="s">
        <v>84</v>
      </c>
      <c r="H1415" s="214">
        <v>8.4979600000000008</v>
      </c>
      <c r="I1415" s="425">
        <v>0.24016999999999999</v>
      </c>
      <c r="J1415" s="91">
        <v>1.00264</v>
      </c>
      <c r="K1415" s="425">
        <v>91.624809999999997</v>
      </c>
      <c r="L1415" s="542" t="s">
        <v>624</v>
      </c>
    </row>
    <row r="1416" spans="1:12" ht="15">
      <c r="A1416">
        <v>462154</v>
      </c>
      <c r="B1416" t="str">
        <f t="shared" si="54"/>
        <v/>
      </c>
      <c r="C1416" s="209">
        <f t="shared" si="55"/>
        <v>0.45943000000000001</v>
      </c>
      <c r="D1416" t="s">
        <v>5165</v>
      </c>
      <c r="E1416" t="s">
        <v>6369</v>
      </c>
      <c r="F1416" t="s">
        <v>84</v>
      </c>
      <c r="G1416" t="s">
        <v>84</v>
      </c>
      <c r="H1416" s="214">
        <v>16.255739999999999</v>
      </c>
      <c r="I1416" s="425">
        <v>0.45943000000000001</v>
      </c>
      <c r="J1416" s="91">
        <v>1.91795</v>
      </c>
      <c r="K1416" s="425">
        <v>175.26894999999999</v>
      </c>
      <c r="L1416" s="542" t="s">
        <v>624</v>
      </c>
    </row>
    <row r="1417" spans="1:12" ht="15">
      <c r="A1417">
        <v>462518</v>
      </c>
      <c r="B1417" t="str">
        <f t="shared" si="54"/>
        <v/>
      </c>
      <c r="C1417" s="209">
        <f t="shared" si="55"/>
        <v>0</v>
      </c>
      <c r="D1417" t="s">
        <v>5166</v>
      </c>
      <c r="E1417" t="s">
        <v>84</v>
      </c>
      <c r="F1417" t="s">
        <v>84</v>
      </c>
      <c r="G1417" t="s">
        <v>84</v>
      </c>
      <c r="H1417" s="214">
        <v>1824.7475199999999</v>
      </c>
      <c r="I1417" s="425">
        <v>0</v>
      </c>
      <c r="J1417" s="91">
        <v>231.57578000000001</v>
      </c>
      <c r="K1417" s="425">
        <v>20674.906080000001</v>
      </c>
      <c r="L1417" s="542" t="s">
        <v>622</v>
      </c>
    </row>
    <row r="1418" spans="1:12" ht="15">
      <c r="A1418">
        <v>462519</v>
      </c>
      <c r="B1418" t="str">
        <f t="shared" si="54"/>
        <v/>
      </c>
      <c r="C1418" s="209">
        <f t="shared" si="55"/>
        <v>2.5000000000000001E-4</v>
      </c>
      <c r="D1418" t="s">
        <v>5167</v>
      </c>
      <c r="E1418" t="s">
        <v>84</v>
      </c>
      <c r="F1418" t="s">
        <v>84</v>
      </c>
      <c r="G1418" t="s">
        <v>84</v>
      </c>
      <c r="H1418" s="214">
        <v>7.1199999999999996E-3</v>
      </c>
      <c r="I1418" s="425">
        <v>2.5000000000000001E-4</v>
      </c>
      <c r="J1418" s="91">
        <v>337.33834999999999</v>
      </c>
      <c r="K1418" s="425">
        <v>29993.026140000002</v>
      </c>
      <c r="L1418" s="542" t="s">
        <v>624</v>
      </c>
    </row>
    <row r="1419" spans="1:12" ht="15">
      <c r="A1419">
        <v>462520</v>
      </c>
      <c r="B1419" t="str">
        <f t="shared" si="54"/>
        <v/>
      </c>
      <c r="C1419" s="209">
        <f t="shared" si="55"/>
        <v>0</v>
      </c>
      <c r="D1419" t="s">
        <v>5168</v>
      </c>
      <c r="E1419" t="s">
        <v>84</v>
      </c>
      <c r="F1419" t="s">
        <v>84</v>
      </c>
      <c r="G1419" t="s">
        <v>84</v>
      </c>
      <c r="H1419" s="214">
        <v>3486.5203200000001</v>
      </c>
      <c r="I1419" s="425">
        <v>0</v>
      </c>
      <c r="J1419" s="91">
        <v>442.46870999999999</v>
      </c>
      <c r="K1419" s="425">
        <v>39503.262439999999</v>
      </c>
      <c r="L1419" s="542" t="s">
        <v>622</v>
      </c>
    </row>
    <row r="1420" spans="1:12" ht="15">
      <c r="A1420">
        <v>462521</v>
      </c>
      <c r="B1420" t="str">
        <f t="shared" si="54"/>
        <v/>
      </c>
      <c r="C1420" s="209">
        <f t="shared" si="55"/>
        <v>0</v>
      </c>
      <c r="D1420" t="s">
        <v>5169</v>
      </c>
      <c r="E1420" t="s">
        <v>84</v>
      </c>
      <c r="F1420" t="s">
        <v>84</v>
      </c>
      <c r="G1420" t="s">
        <v>84</v>
      </c>
      <c r="H1420" s="214">
        <v>4479.3139199999996</v>
      </c>
      <c r="I1420" s="425">
        <v>0</v>
      </c>
      <c r="J1420" s="91">
        <v>568.46256000000005</v>
      </c>
      <c r="K1420" s="425">
        <v>50751.89503</v>
      </c>
      <c r="L1420" s="542" t="s">
        <v>622</v>
      </c>
    </row>
    <row r="1421" spans="1:12" ht="15">
      <c r="A1421">
        <v>462556</v>
      </c>
      <c r="B1421" t="str">
        <f t="shared" si="54"/>
        <v>SEVROLL 04490-M Blue-V spodné vedenie 2m oliva new</v>
      </c>
      <c r="C1421" s="209">
        <f t="shared" si="55"/>
        <v>11.226179999999999</v>
      </c>
      <c r="D1421" t="s">
        <v>5170</v>
      </c>
      <c r="E1421" t="s">
        <v>6370</v>
      </c>
      <c r="F1421" t="s">
        <v>6991</v>
      </c>
      <c r="G1421" t="s">
        <v>7536</v>
      </c>
      <c r="H1421" s="214">
        <v>246.94739999999999</v>
      </c>
      <c r="I1421" s="425">
        <v>11.226179999999999</v>
      </c>
      <c r="J1421" s="91">
        <v>38.43</v>
      </c>
      <c r="K1421" s="425">
        <v>2652.9033100000001</v>
      </c>
      <c r="L1421" s="542" t="s">
        <v>621</v>
      </c>
    </row>
    <row r="1422" spans="1:12" ht="15">
      <c r="A1422">
        <v>462558</v>
      </c>
      <c r="B1422" t="str">
        <f t="shared" si="54"/>
        <v>SEVROLL Lux III úch.lišta 2,7m oliva new</v>
      </c>
      <c r="C1422" s="209">
        <f t="shared" si="55"/>
        <v>25.2851</v>
      </c>
      <c r="D1422" t="s">
        <v>5171</v>
      </c>
      <c r="E1422" t="s">
        <v>6371</v>
      </c>
      <c r="F1422" t="s">
        <v>6992</v>
      </c>
      <c r="G1422" t="s">
        <v>7537</v>
      </c>
      <c r="H1422" s="214">
        <v>724.92391999999995</v>
      </c>
      <c r="I1422" s="425">
        <v>25.2851</v>
      </c>
      <c r="J1422" s="91">
        <v>102.19717</v>
      </c>
      <c r="K1422" s="425">
        <v>8240.9336899999998</v>
      </c>
      <c r="L1422" s="542" t="s">
        <v>621</v>
      </c>
    </row>
    <row r="1423" spans="1:12" ht="15">
      <c r="A1423">
        <v>462559</v>
      </c>
      <c r="B1423" t="str">
        <f t="shared" si="54"/>
        <v>SEVROLL 00029-A 161 U PROFna DTD 18mm-3m, OLIVA new</v>
      </c>
      <c r="C1423" s="209" t="e">
        <f t="shared" si="55"/>
        <v>#N/A</v>
      </c>
      <c r="D1423" t="s">
        <v>5172</v>
      </c>
      <c r="E1423" t="s">
        <v>6372</v>
      </c>
      <c r="F1423" t="s">
        <v>6993</v>
      </c>
      <c r="G1423" t="s">
        <v>7538</v>
      </c>
      <c r="H1423" s="214">
        <v>165.10975999999999</v>
      </c>
      <c r="I1423" s="425" t="e">
        <v>#N/A</v>
      </c>
      <c r="J1423" s="91">
        <v>19.29956</v>
      </c>
      <c r="K1423" s="425">
        <v>1870.7403300000001</v>
      </c>
      <c r="L1423" s="542" t="s">
        <v>621</v>
      </c>
    </row>
    <row r="1424" spans="1:12" ht="15">
      <c r="A1424">
        <v>462566</v>
      </c>
      <c r="B1424" t="str">
        <f t="shared" si="54"/>
        <v>SEVROLL 00095-A UHOLNÍK 17*11 OLIVOVÁ 3m new</v>
      </c>
      <c r="C1424" s="209">
        <f t="shared" si="55"/>
        <v>5.6885399999999997</v>
      </c>
      <c r="D1424" t="s">
        <v>5173</v>
      </c>
      <c r="E1424" t="s">
        <v>6373</v>
      </c>
      <c r="F1424" t="s">
        <v>6994</v>
      </c>
      <c r="G1424" t="s">
        <v>7539</v>
      </c>
      <c r="H1424" s="214">
        <v>150.16448</v>
      </c>
      <c r="I1424" s="425">
        <v>5.6885399999999997</v>
      </c>
      <c r="J1424" s="91">
        <v>18.63</v>
      </c>
      <c r="K1424" s="425">
        <v>1701.40608</v>
      </c>
      <c r="L1424" s="542" t="s">
        <v>621</v>
      </c>
    </row>
    <row r="1425" spans="1:12" ht="15">
      <c r="A1425">
        <v>462567</v>
      </c>
      <c r="B1425" t="str">
        <f t="shared" si="54"/>
        <v>SEVROLL horná vodiaca lišta Simple/Blue 3m (pre lamino 10mm) oliva new</v>
      </c>
      <c r="C1425" s="209">
        <f t="shared" si="55"/>
        <v>15.613099999999999</v>
      </c>
      <c r="D1425" t="s">
        <v>5174</v>
      </c>
      <c r="E1425" t="s">
        <v>6374</v>
      </c>
      <c r="F1425" t="s">
        <v>6995</v>
      </c>
      <c r="G1425" t="s">
        <v>7540</v>
      </c>
      <c r="H1425" s="214">
        <v>362.53980000000001</v>
      </c>
      <c r="I1425" s="425">
        <v>15.613099999999999</v>
      </c>
      <c r="J1425" s="91">
        <v>49.65</v>
      </c>
      <c r="K1425" s="425">
        <v>3894.6878499999998</v>
      </c>
      <c r="L1425" s="542" t="s">
        <v>621</v>
      </c>
    </row>
    <row r="1426" spans="1:12" ht="15">
      <c r="A1426">
        <v>462571</v>
      </c>
      <c r="B1426" t="str">
        <f t="shared" si="54"/>
        <v>SEVROLL Focus II 18mm úchytova lišta 2,7m oliva new</v>
      </c>
      <c r="C1426" s="209">
        <f t="shared" si="55"/>
        <v>9.8344299999999993</v>
      </c>
      <c r="D1426" t="s">
        <v>5175</v>
      </c>
      <c r="E1426" t="s">
        <v>6375</v>
      </c>
      <c r="F1426" t="s">
        <v>6996</v>
      </c>
      <c r="G1426" t="s">
        <v>7541</v>
      </c>
      <c r="H1426" s="214">
        <v>259.05151999999998</v>
      </c>
      <c r="I1426" s="425">
        <v>9.8344299999999993</v>
      </c>
      <c r="J1426" s="91">
        <v>30.280360000000002</v>
      </c>
      <c r="K1426" s="425">
        <v>2935.1270800000002</v>
      </c>
      <c r="L1426" s="542" t="s">
        <v>621</v>
      </c>
    </row>
    <row r="1427" spans="1:12" ht="15">
      <c r="A1427">
        <v>462572</v>
      </c>
      <c r="B1427" t="str">
        <f t="shared" si="54"/>
        <v/>
      </c>
      <c r="C1427" s="209">
        <f t="shared" si="55"/>
        <v>26.562609999999999</v>
      </c>
      <c r="D1427" t="s">
        <v>5176</v>
      </c>
      <c r="E1427" t="s">
        <v>6376</v>
      </c>
      <c r="F1427" t="s">
        <v>84</v>
      </c>
      <c r="G1427" t="s">
        <v>7542</v>
      </c>
      <c r="H1427" s="214">
        <v>774.30784000000006</v>
      </c>
      <c r="I1427" s="425">
        <v>26.562609999999999</v>
      </c>
      <c r="J1427" s="91">
        <v>90.508319999999998</v>
      </c>
      <c r="K1427" s="425">
        <v>8773.1270800000002</v>
      </c>
      <c r="L1427" s="542" t="s">
        <v>621</v>
      </c>
    </row>
    <row r="1428" spans="1:12" ht="15">
      <c r="A1428">
        <v>462573</v>
      </c>
      <c r="B1428" t="str">
        <f t="shared" si="54"/>
        <v>SEVROLL maska Elegant II 1,7 m oliva new</v>
      </c>
      <c r="C1428" s="209">
        <f t="shared" si="55"/>
        <v>3.35046</v>
      </c>
      <c r="D1428" t="s">
        <v>5177</v>
      </c>
      <c r="E1428" t="s">
        <v>6377</v>
      </c>
      <c r="F1428" t="s">
        <v>6997</v>
      </c>
      <c r="G1428" t="s">
        <v>7543</v>
      </c>
      <c r="H1428" s="214">
        <v>96.880399999999995</v>
      </c>
      <c r="I1428" s="425">
        <v>3.35046</v>
      </c>
      <c r="J1428" s="91">
        <v>11.09</v>
      </c>
      <c r="K1428" s="425">
        <v>1048.2596699999999</v>
      </c>
      <c r="L1428" s="542" t="s">
        <v>621</v>
      </c>
    </row>
    <row r="1429" spans="1:12" ht="15">
      <c r="A1429">
        <v>88162</v>
      </c>
      <c r="B1429" t="e">
        <f t="shared" si="54"/>
        <v>#N/A</v>
      </c>
      <c r="C1429" s="209" t="e">
        <f t="shared" si="55"/>
        <v>#N/A</v>
      </c>
      <c r="D1429" t="s">
        <v>5178</v>
      </c>
      <c r="E1429" t="e">
        <v>#N/A</v>
      </c>
      <c r="F1429" t="e">
        <v>#N/A</v>
      </c>
      <c r="G1429" t="e">
        <v>#N/A</v>
      </c>
      <c r="H1429" s="214">
        <v>516.25762999999995</v>
      </c>
      <c r="I1429" s="425" t="e">
        <v>#N/A</v>
      </c>
      <c r="J1429" s="91">
        <v>96.217119999999994</v>
      </c>
      <c r="K1429" s="425">
        <v>7758.7168499999998</v>
      </c>
      <c r="L1429" s="542" t="s">
        <v>622</v>
      </c>
    </row>
    <row r="1430" spans="1:12" ht="15">
      <c r="A1430">
        <v>88193</v>
      </c>
      <c r="B1430" t="e">
        <f t="shared" si="54"/>
        <v>#N/A</v>
      </c>
      <c r="C1430" s="209" t="e">
        <f t="shared" si="55"/>
        <v>#N/A</v>
      </c>
      <c r="D1430" t="s">
        <v>5179</v>
      </c>
      <c r="E1430" t="e">
        <v>#N/A</v>
      </c>
      <c r="F1430" t="e">
        <v>#N/A</v>
      </c>
      <c r="G1430" t="e">
        <v>#N/A</v>
      </c>
      <c r="H1430" s="214">
        <v>1191.5820000000001</v>
      </c>
      <c r="I1430" s="425" t="e">
        <v>#N/A</v>
      </c>
      <c r="J1430" s="91">
        <v>7.1940400000000002</v>
      </c>
      <c r="K1430" s="425">
        <v>580.11049000000003</v>
      </c>
      <c r="L1430" s="542" t="s">
        <v>622</v>
      </c>
    </row>
    <row r="1431" spans="1:12" ht="15">
      <c r="A1431">
        <v>88163</v>
      </c>
      <c r="B1431" t="e">
        <f t="shared" si="54"/>
        <v>#N/A</v>
      </c>
      <c r="C1431" s="209" t="e">
        <f t="shared" si="55"/>
        <v>#N/A</v>
      </c>
      <c r="D1431" t="s">
        <v>5180</v>
      </c>
      <c r="E1431" t="e">
        <v>#N/A</v>
      </c>
      <c r="F1431" t="e">
        <v>#N/A</v>
      </c>
      <c r="G1431" t="e">
        <v>#N/A</v>
      </c>
      <c r="H1431" s="214">
        <v>409.10982000000001</v>
      </c>
      <c r="I1431" s="425" t="e">
        <v>#N/A</v>
      </c>
      <c r="J1431" s="91">
        <v>0</v>
      </c>
      <c r="K1431" s="425">
        <v>7685.5939200000003</v>
      </c>
      <c r="L1431" s="542" t="s">
        <v>622</v>
      </c>
    </row>
    <row r="1432" spans="1:12" ht="15">
      <c r="A1432">
        <v>88164</v>
      </c>
      <c r="B1432" t="e">
        <f t="shared" si="54"/>
        <v>#N/A</v>
      </c>
      <c r="C1432" s="209" t="e">
        <f t="shared" si="55"/>
        <v>#N/A</v>
      </c>
      <c r="D1432" t="s">
        <v>5181</v>
      </c>
      <c r="E1432" t="e">
        <v>#N/A</v>
      </c>
      <c r="F1432" t="e">
        <v>#N/A</v>
      </c>
      <c r="G1432" t="e">
        <v>#N/A</v>
      </c>
      <c r="H1432" s="214">
        <v>613.66279999999995</v>
      </c>
      <c r="I1432" s="425" t="e">
        <v>#N/A</v>
      </c>
      <c r="J1432" s="91">
        <v>0</v>
      </c>
      <c r="K1432" s="425">
        <v>11528.245849999999</v>
      </c>
      <c r="L1432" s="542" t="s">
        <v>622</v>
      </c>
    </row>
    <row r="1433" spans="1:12" ht="15">
      <c r="A1433">
        <v>88393</v>
      </c>
      <c r="B1433" t="e">
        <f t="shared" ref="B1433:B1485" si="56">IF($A$2=1,D1433,IF($A$2=2,F1433,IF($A$2=3,G1433,IF($A$2=4,E1433,"zadat jazyk"))))</f>
        <v>#N/A</v>
      </c>
      <c r="C1433" s="209" t="e">
        <f t="shared" ref="C1433:C1485" si="57">IF($A$2=1,H1433,IF($A$2=2,I1433,IF($A$2=3,J1433,IF($A$2=4,K1433,"zadat jazyk"))))</f>
        <v>#N/A</v>
      </c>
      <c r="D1433" t="s">
        <v>5182</v>
      </c>
      <c r="E1433" t="e">
        <v>#N/A</v>
      </c>
      <c r="F1433" t="e">
        <v>#N/A</v>
      </c>
      <c r="G1433" t="e">
        <v>#N/A</v>
      </c>
      <c r="H1433" s="214">
        <v>41.745899999999999</v>
      </c>
      <c r="I1433" s="425" t="e">
        <v>#N/A</v>
      </c>
      <c r="J1433" s="91">
        <v>7.7803699999999996</v>
      </c>
      <c r="K1433" s="425">
        <v>627.38950999999997</v>
      </c>
      <c r="L1433" s="542" t="s">
        <v>622</v>
      </c>
    </row>
    <row r="1434" spans="1:12" ht="15">
      <c r="A1434">
        <v>88394</v>
      </c>
      <c r="B1434" t="e">
        <f t="shared" si="56"/>
        <v>#N/A</v>
      </c>
      <c r="C1434" s="209" t="e">
        <f t="shared" si="57"/>
        <v>#N/A</v>
      </c>
      <c r="D1434" t="s">
        <v>5183</v>
      </c>
      <c r="E1434" t="e">
        <v>#N/A</v>
      </c>
      <c r="F1434" t="e">
        <v>#N/A</v>
      </c>
      <c r="G1434" t="e">
        <v>#N/A</v>
      </c>
      <c r="H1434" s="214">
        <v>423.02704999999997</v>
      </c>
      <c r="I1434" s="425" t="e">
        <v>#N/A</v>
      </c>
      <c r="J1434" s="91">
        <v>78.840980000000002</v>
      </c>
      <c r="K1434" s="425">
        <v>6357.5469700000003</v>
      </c>
      <c r="L1434" s="542" t="s">
        <v>622</v>
      </c>
    </row>
    <row r="1435" spans="1:12" ht="15">
      <c r="A1435">
        <v>88396</v>
      </c>
      <c r="B1435" t="e">
        <f t="shared" si="56"/>
        <v>#N/A</v>
      </c>
      <c r="C1435" s="209" t="e">
        <f t="shared" si="57"/>
        <v>#N/A</v>
      </c>
      <c r="D1435" t="s">
        <v>5184</v>
      </c>
      <c r="E1435" t="e">
        <v>#N/A</v>
      </c>
      <c r="F1435" t="e">
        <v>#N/A</v>
      </c>
      <c r="G1435" t="e">
        <v>#N/A</v>
      </c>
      <c r="H1435" s="214">
        <v>228.28575000000001</v>
      </c>
      <c r="I1435" s="425" t="e">
        <v>#N/A</v>
      </c>
      <c r="J1435" s="91">
        <v>51.057980000000001</v>
      </c>
      <c r="K1435" s="425">
        <v>3957.5408499999999</v>
      </c>
      <c r="L1435" s="542" t="s">
        <v>622</v>
      </c>
    </row>
    <row r="1436" spans="1:12" ht="15">
      <c r="A1436">
        <v>88398</v>
      </c>
      <c r="B1436" t="e">
        <f t="shared" si="56"/>
        <v>#N/A</v>
      </c>
      <c r="C1436" s="209" t="e">
        <f t="shared" si="57"/>
        <v>#N/A</v>
      </c>
      <c r="D1436" t="s">
        <v>5185</v>
      </c>
      <c r="E1436" t="e">
        <v>#N/A</v>
      </c>
      <c r="F1436" t="e">
        <v>#N/A</v>
      </c>
      <c r="G1436" t="e">
        <v>#N/A</v>
      </c>
      <c r="H1436" s="214">
        <v>345.09764000000001</v>
      </c>
      <c r="I1436" s="425" t="e">
        <v>#N/A</v>
      </c>
      <c r="J1436" s="91">
        <v>77.183930000000004</v>
      </c>
      <c r="K1436" s="425">
        <v>6169.3301000000001</v>
      </c>
      <c r="L1436" s="542" t="s">
        <v>622</v>
      </c>
    </row>
    <row r="1437" spans="1:12" ht="15">
      <c r="A1437">
        <v>88803</v>
      </c>
      <c r="B1437" t="e">
        <f t="shared" si="56"/>
        <v>#N/A</v>
      </c>
      <c r="C1437" s="209" t="e">
        <f t="shared" si="57"/>
        <v>#N/A</v>
      </c>
      <c r="D1437" t="s">
        <v>5186</v>
      </c>
      <c r="E1437" t="e">
        <v>#N/A</v>
      </c>
      <c r="F1437" t="e">
        <v>#N/A</v>
      </c>
      <c r="G1437" t="e">
        <v>#N/A</v>
      </c>
      <c r="H1437" s="214">
        <v>298.55889000000002</v>
      </c>
      <c r="I1437" s="425" t="e">
        <v>#N/A</v>
      </c>
      <c r="J1437" s="91">
        <v>55.759259999999998</v>
      </c>
      <c r="K1437" s="425">
        <v>4496.29144</v>
      </c>
      <c r="L1437" s="542" t="s">
        <v>622</v>
      </c>
    </row>
    <row r="1438" spans="1:12" ht="15">
      <c r="A1438">
        <v>88968</v>
      </c>
      <c r="B1438" t="e">
        <f t="shared" si="56"/>
        <v>#N/A</v>
      </c>
      <c r="C1438" s="209" t="e">
        <f t="shared" si="57"/>
        <v>#N/A</v>
      </c>
      <c r="D1438" t="s">
        <v>5187</v>
      </c>
      <c r="E1438" t="e">
        <v>#N/A</v>
      </c>
      <c r="F1438" t="e">
        <v>#N/A</v>
      </c>
      <c r="G1438" t="e">
        <v>#N/A</v>
      </c>
      <c r="H1438" s="214">
        <v>64.039500000000004</v>
      </c>
      <c r="I1438" s="425" t="e">
        <v>#N/A</v>
      </c>
      <c r="J1438" s="91">
        <v>11.960100000000001</v>
      </c>
      <c r="K1438" s="425">
        <v>935.23974999999996</v>
      </c>
      <c r="L1438" s="542" t="s">
        <v>620</v>
      </c>
    </row>
    <row r="1439" spans="1:12" ht="15">
      <c r="A1439">
        <v>87311</v>
      </c>
      <c r="B1439" t="e">
        <f t="shared" si="56"/>
        <v>#N/A</v>
      </c>
      <c r="C1439" s="209" t="e">
        <f t="shared" si="57"/>
        <v>#N/A</v>
      </c>
      <c r="D1439" t="s">
        <v>5188</v>
      </c>
      <c r="E1439" t="e">
        <v>#N/A</v>
      </c>
      <c r="F1439" t="e">
        <v>#N/A</v>
      </c>
      <c r="G1439" t="e">
        <v>#N/A</v>
      </c>
      <c r="H1439" s="214">
        <v>290.11597999999998</v>
      </c>
      <c r="I1439" s="425" t="e">
        <v>#N/A</v>
      </c>
      <c r="J1439" s="91">
        <v>64.886830000000003</v>
      </c>
      <c r="K1439" s="425">
        <v>5186.4198999999999</v>
      </c>
      <c r="L1439" s="542" t="s">
        <v>622</v>
      </c>
    </row>
    <row r="1440" spans="1:12" ht="15">
      <c r="A1440">
        <v>87312</v>
      </c>
      <c r="B1440" t="e">
        <f t="shared" si="56"/>
        <v>#N/A</v>
      </c>
      <c r="C1440" s="209" t="e">
        <f t="shared" si="57"/>
        <v>#N/A</v>
      </c>
      <c r="D1440" t="s">
        <v>5189</v>
      </c>
      <c r="E1440" t="e">
        <v>#N/A</v>
      </c>
      <c r="F1440" t="e">
        <v>#N/A</v>
      </c>
      <c r="G1440" t="e">
        <v>#N/A</v>
      </c>
      <c r="H1440" s="214">
        <v>452.71969000000001</v>
      </c>
      <c r="I1440" s="425" t="e">
        <v>#N/A</v>
      </c>
      <c r="J1440" s="91">
        <v>101.25448</v>
      </c>
      <c r="K1440" s="425">
        <v>7848.3069800000003</v>
      </c>
      <c r="L1440" s="542" t="s">
        <v>621</v>
      </c>
    </row>
    <row r="1441" spans="1:12" ht="15">
      <c r="A1441">
        <v>87313</v>
      </c>
      <c r="B1441" t="e">
        <f t="shared" si="56"/>
        <v>#N/A</v>
      </c>
      <c r="C1441" s="209" t="e">
        <f t="shared" si="57"/>
        <v>#N/A</v>
      </c>
      <c r="D1441" t="s">
        <v>5190</v>
      </c>
      <c r="E1441" t="e">
        <v>#N/A</v>
      </c>
      <c r="F1441" t="e">
        <v>#N/A</v>
      </c>
      <c r="G1441" t="e">
        <v>#N/A</v>
      </c>
      <c r="H1441" s="214">
        <v>452.71969000000001</v>
      </c>
      <c r="I1441" s="425" t="e">
        <v>#N/A</v>
      </c>
      <c r="J1441" s="91">
        <v>101.25448</v>
      </c>
      <c r="K1441" s="425">
        <v>8059.89822</v>
      </c>
      <c r="L1441" s="542" t="s">
        <v>621</v>
      </c>
    </row>
    <row r="1442" spans="1:12" ht="15">
      <c r="A1442">
        <v>87314</v>
      </c>
      <c r="B1442" t="e">
        <f t="shared" si="56"/>
        <v>#N/A</v>
      </c>
      <c r="C1442" s="209" t="e">
        <f t="shared" si="57"/>
        <v>#N/A</v>
      </c>
      <c r="D1442" t="s">
        <v>5191</v>
      </c>
      <c r="E1442" t="e">
        <v>#N/A</v>
      </c>
      <c r="F1442" t="e">
        <v>#N/A</v>
      </c>
      <c r="G1442" t="e">
        <v>#N/A</v>
      </c>
      <c r="H1442" s="214">
        <v>166.71512000000001</v>
      </c>
      <c r="I1442" s="425" t="e">
        <v>#N/A</v>
      </c>
      <c r="J1442" s="91">
        <v>37.287199999999999</v>
      </c>
      <c r="K1442" s="425">
        <v>2980.3756899999998</v>
      </c>
      <c r="L1442" s="542" t="s">
        <v>621</v>
      </c>
    </row>
    <row r="1443" spans="1:12" ht="15">
      <c r="A1443">
        <v>87315</v>
      </c>
      <c r="B1443" t="e">
        <f t="shared" si="56"/>
        <v>#N/A</v>
      </c>
      <c r="C1443" s="209" t="e">
        <f t="shared" si="57"/>
        <v>#N/A</v>
      </c>
      <c r="D1443" t="s">
        <v>5192</v>
      </c>
      <c r="E1443" t="e">
        <v>#N/A</v>
      </c>
      <c r="F1443" t="e">
        <v>#N/A</v>
      </c>
      <c r="G1443" t="e">
        <v>#N/A</v>
      </c>
      <c r="H1443" s="214">
        <v>111.14449999999999</v>
      </c>
      <c r="I1443" s="425" t="e">
        <v>#N/A</v>
      </c>
      <c r="J1443" s="91">
        <v>24.85839</v>
      </c>
      <c r="K1443" s="425">
        <v>1986.9364599999999</v>
      </c>
      <c r="L1443" s="542" t="s">
        <v>621</v>
      </c>
    </row>
    <row r="1444" spans="1:12" ht="15">
      <c r="A1444">
        <v>88630</v>
      </c>
      <c r="B1444" t="e">
        <f t="shared" si="56"/>
        <v>#N/A</v>
      </c>
      <c r="C1444" s="209" t="e">
        <f t="shared" si="57"/>
        <v>#N/A</v>
      </c>
      <c r="D1444" t="s">
        <v>5193</v>
      </c>
      <c r="E1444" t="e">
        <v>#N/A</v>
      </c>
      <c r="F1444" t="e">
        <v>#N/A</v>
      </c>
      <c r="G1444" t="e">
        <v>#N/A</v>
      </c>
      <c r="H1444" s="214">
        <v>326.30671999999998</v>
      </c>
      <c r="I1444" s="425" t="e">
        <v>#N/A</v>
      </c>
      <c r="J1444" s="91">
        <v>68.467169999999996</v>
      </c>
      <c r="K1444" s="425">
        <v>5908.4254099999998</v>
      </c>
      <c r="L1444" s="542" t="s">
        <v>621</v>
      </c>
    </row>
    <row r="1445" spans="1:12" ht="15">
      <c r="A1445">
        <v>88631</v>
      </c>
      <c r="B1445" t="e">
        <f t="shared" si="56"/>
        <v>#N/A</v>
      </c>
      <c r="C1445" s="209" t="e">
        <f t="shared" si="57"/>
        <v>#N/A</v>
      </c>
      <c r="D1445" t="s">
        <v>5194</v>
      </c>
      <c r="E1445" t="e">
        <v>#N/A</v>
      </c>
      <c r="F1445" t="e">
        <v>#N/A</v>
      </c>
      <c r="G1445" t="e">
        <v>#N/A</v>
      </c>
      <c r="H1445" s="214">
        <v>342.37484999999998</v>
      </c>
      <c r="I1445" s="425" t="e">
        <v>#N/A</v>
      </c>
      <c r="J1445" s="91">
        <v>71.838300000000004</v>
      </c>
      <c r="K1445" s="425">
        <v>5792.8964100000003</v>
      </c>
      <c r="L1445" s="542" t="s">
        <v>621</v>
      </c>
    </row>
    <row r="1446" spans="1:12" ht="15">
      <c r="A1446">
        <v>88632</v>
      </c>
      <c r="B1446" t="e">
        <f t="shared" si="56"/>
        <v>#N/A</v>
      </c>
      <c r="C1446" s="209" t="e">
        <f t="shared" si="57"/>
        <v>#N/A</v>
      </c>
      <c r="D1446" t="s">
        <v>5195</v>
      </c>
      <c r="E1446" t="e">
        <v>#N/A</v>
      </c>
      <c r="F1446" t="e">
        <v>#N/A</v>
      </c>
      <c r="G1446" t="e">
        <v>#N/A</v>
      </c>
      <c r="H1446" s="214">
        <v>464.77102000000002</v>
      </c>
      <c r="I1446" s="425" t="e">
        <v>#N/A</v>
      </c>
      <c r="J1446" s="91">
        <v>86.621350000000007</v>
      </c>
      <c r="K1446" s="425">
        <v>6984.9364599999999</v>
      </c>
      <c r="L1446" s="542" t="s">
        <v>622</v>
      </c>
    </row>
    <row r="1447" spans="1:12" ht="15">
      <c r="A1447">
        <v>88633</v>
      </c>
      <c r="B1447" t="e">
        <f t="shared" si="56"/>
        <v>#N/A</v>
      </c>
      <c r="C1447" s="209" t="e">
        <f t="shared" si="57"/>
        <v>#N/A</v>
      </c>
      <c r="D1447" t="s">
        <v>5196</v>
      </c>
      <c r="E1447" t="e">
        <v>#N/A</v>
      </c>
      <c r="F1447" t="e">
        <v>#N/A</v>
      </c>
      <c r="G1447" t="e">
        <v>#N/A</v>
      </c>
      <c r="H1447" s="214">
        <v>7.0189399999999997</v>
      </c>
      <c r="I1447" s="425" t="e">
        <v>#N/A</v>
      </c>
      <c r="J1447" s="91">
        <v>1.5698399999999999</v>
      </c>
      <c r="K1447" s="425">
        <v>125.47790000000001</v>
      </c>
      <c r="L1447" s="542" t="s">
        <v>621</v>
      </c>
    </row>
    <row r="1448" spans="1:12" ht="15">
      <c r="A1448">
        <v>88634</v>
      </c>
      <c r="B1448" t="e">
        <f t="shared" si="56"/>
        <v>#N/A</v>
      </c>
      <c r="C1448" s="209" t="e">
        <f t="shared" si="57"/>
        <v>#N/A</v>
      </c>
      <c r="D1448" t="s">
        <v>5197</v>
      </c>
      <c r="E1448" t="e">
        <v>#N/A</v>
      </c>
      <c r="F1448" t="e">
        <v>#N/A</v>
      </c>
      <c r="G1448" t="e">
        <v>#N/A</v>
      </c>
      <c r="H1448" s="214">
        <v>6.9576500000000001</v>
      </c>
      <c r="I1448" s="425" t="e">
        <v>#N/A</v>
      </c>
      <c r="J1448" s="91">
        <v>1.2967200000000001</v>
      </c>
      <c r="K1448" s="425">
        <v>104.56492</v>
      </c>
      <c r="L1448" s="542" t="s">
        <v>623</v>
      </c>
    </row>
    <row r="1449" spans="1:12" ht="15">
      <c r="A1449">
        <v>88635</v>
      </c>
      <c r="B1449" t="e">
        <f t="shared" si="56"/>
        <v>#N/A</v>
      </c>
      <c r="C1449" s="209" t="e">
        <f t="shared" si="57"/>
        <v>#N/A</v>
      </c>
      <c r="D1449" t="s">
        <v>5198</v>
      </c>
      <c r="E1449" t="e">
        <v>#N/A</v>
      </c>
      <c r="F1449" t="e">
        <v>#N/A</v>
      </c>
      <c r="G1449" t="e">
        <v>#N/A</v>
      </c>
      <c r="H1449" s="214">
        <v>14.03787</v>
      </c>
      <c r="I1449" s="425" t="e">
        <v>#N/A</v>
      </c>
      <c r="J1449" s="91">
        <v>3.1396799999999998</v>
      </c>
      <c r="K1449" s="425">
        <v>250.95580000000001</v>
      </c>
      <c r="L1449" s="542" t="s">
        <v>622</v>
      </c>
    </row>
    <row r="1450" spans="1:12" ht="15">
      <c r="A1450">
        <v>88636</v>
      </c>
      <c r="B1450" t="e">
        <f t="shared" si="56"/>
        <v>#N/A</v>
      </c>
      <c r="C1450" s="209" t="e">
        <f t="shared" si="57"/>
        <v>#N/A</v>
      </c>
      <c r="D1450" t="s">
        <v>5199</v>
      </c>
      <c r="E1450" t="e">
        <v>#N/A</v>
      </c>
      <c r="F1450" t="e">
        <v>#N/A</v>
      </c>
      <c r="G1450" t="e">
        <v>#N/A</v>
      </c>
      <c r="H1450" s="214">
        <v>38.96284</v>
      </c>
      <c r="I1450" s="425" t="e">
        <v>#N/A</v>
      </c>
      <c r="J1450" s="91">
        <v>7.2616800000000001</v>
      </c>
      <c r="K1450" s="425">
        <v>585.56353999999999</v>
      </c>
      <c r="L1450" s="542" t="s">
        <v>622</v>
      </c>
    </row>
    <row r="1451" spans="1:12" ht="15">
      <c r="A1451">
        <v>88643</v>
      </c>
      <c r="B1451" t="e">
        <f t="shared" si="56"/>
        <v>#N/A</v>
      </c>
      <c r="C1451" s="209" t="e">
        <f t="shared" si="57"/>
        <v>#N/A</v>
      </c>
      <c r="D1451" t="s">
        <v>5200</v>
      </c>
      <c r="E1451" t="e">
        <v>#N/A</v>
      </c>
      <c r="F1451" t="e">
        <v>#N/A</v>
      </c>
      <c r="G1451" t="e">
        <v>#N/A</v>
      </c>
      <c r="H1451" s="214">
        <v>248.06880000000001</v>
      </c>
      <c r="I1451" s="425" t="e">
        <v>#N/A</v>
      </c>
      <c r="J1451" s="91">
        <v>46.329659999999997</v>
      </c>
      <c r="K1451" s="425">
        <v>0</v>
      </c>
      <c r="L1451" s="542" t="s">
        <v>622</v>
      </c>
    </row>
    <row r="1452" spans="1:12" ht="15">
      <c r="A1452">
        <v>88644</v>
      </c>
      <c r="B1452" t="e">
        <f t="shared" si="56"/>
        <v>#N/A</v>
      </c>
      <c r="C1452" s="209" t="e">
        <f t="shared" si="57"/>
        <v>#N/A</v>
      </c>
      <c r="D1452" t="s">
        <v>5201</v>
      </c>
      <c r="E1452" t="e">
        <v>#N/A</v>
      </c>
      <c r="F1452" t="e">
        <v>#N/A</v>
      </c>
      <c r="G1452" t="e">
        <v>#N/A</v>
      </c>
      <c r="H1452" s="214">
        <v>372.10320000000002</v>
      </c>
      <c r="I1452" s="425" t="e">
        <v>#N/A</v>
      </c>
      <c r="J1452" s="91">
        <v>69.494489999999999</v>
      </c>
      <c r="K1452" s="425">
        <v>0</v>
      </c>
      <c r="L1452" s="542" t="s">
        <v>620</v>
      </c>
    </row>
    <row r="1453" spans="1:12" ht="15">
      <c r="A1453">
        <v>88645</v>
      </c>
      <c r="B1453" t="e">
        <f t="shared" si="56"/>
        <v>#N/A</v>
      </c>
      <c r="C1453" s="209" t="e">
        <f t="shared" si="57"/>
        <v>#N/A</v>
      </c>
      <c r="D1453" t="s">
        <v>5202</v>
      </c>
      <c r="E1453" t="e">
        <v>#N/A</v>
      </c>
      <c r="F1453" t="e">
        <v>#N/A</v>
      </c>
      <c r="G1453" t="e">
        <v>#N/A</v>
      </c>
      <c r="H1453" s="214">
        <v>248.06880000000001</v>
      </c>
      <c r="I1453" s="425" t="e">
        <v>#N/A</v>
      </c>
      <c r="J1453" s="91">
        <v>46.329659999999997</v>
      </c>
      <c r="K1453" s="425">
        <v>0</v>
      </c>
      <c r="L1453" s="542" t="s">
        <v>622</v>
      </c>
    </row>
    <row r="1454" spans="1:12" ht="15">
      <c r="A1454">
        <v>89690</v>
      </c>
      <c r="B1454" t="e">
        <f t="shared" si="56"/>
        <v>#N/A</v>
      </c>
      <c r="C1454" s="209" t="e">
        <f t="shared" si="57"/>
        <v>#N/A</v>
      </c>
      <c r="D1454" t="s">
        <v>5203</v>
      </c>
      <c r="E1454" t="e">
        <v>#N/A</v>
      </c>
      <c r="F1454" t="e">
        <v>#N/A</v>
      </c>
      <c r="G1454" t="e">
        <v>#N/A</v>
      </c>
      <c r="H1454" s="214">
        <v>128.07900000000001</v>
      </c>
      <c r="I1454" s="425" t="e">
        <v>#N/A</v>
      </c>
      <c r="J1454" s="91">
        <v>23.920200000000001</v>
      </c>
      <c r="K1454" s="425">
        <v>1870.4795099999999</v>
      </c>
      <c r="L1454" s="542" t="s">
        <v>620</v>
      </c>
    </row>
    <row r="1455" spans="1:12" ht="15">
      <c r="A1455">
        <v>266434</v>
      </c>
      <c r="B1455" t="str">
        <f t="shared" si="56"/>
        <v>SEVROLL vzorky Ma-Bu Kft</v>
      </c>
      <c r="C1455" s="209" t="e">
        <f t="shared" si="57"/>
        <v>#N/A</v>
      </c>
      <c r="D1455" t="s">
        <v>5204</v>
      </c>
      <c r="E1455" t="s">
        <v>6378</v>
      </c>
      <c r="F1455" t="s">
        <v>5204</v>
      </c>
      <c r="G1455" t="s">
        <v>7544</v>
      </c>
      <c r="H1455" s="214">
        <v>0.59492</v>
      </c>
      <c r="I1455" s="425" t="e">
        <v>#N/A</v>
      </c>
      <c r="J1455" s="91">
        <v>5.4179999999999999E-2</v>
      </c>
      <c r="K1455" s="425">
        <v>4.3791000000000002</v>
      </c>
      <c r="L1455" s="542" t="s">
        <v>622</v>
      </c>
    </row>
    <row r="1456" spans="1:12" ht="15">
      <c r="A1456">
        <v>266435</v>
      </c>
      <c r="B1456" t="str">
        <f t="shared" si="56"/>
        <v>SEVROLL vzorky Szaki-Barkács Kft.</v>
      </c>
      <c r="C1456" s="209" t="e">
        <f t="shared" si="57"/>
        <v>#N/A</v>
      </c>
      <c r="D1456" t="s">
        <v>5205</v>
      </c>
      <c r="E1456" t="s">
        <v>6379</v>
      </c>
      <c r="F1456" t="s">
        <v>5205</v>
      </c>
      <c r="G1456" t="s">
        <v>7545</v>
      </c>
      <c r="H1456" s="214">
        <v>0.59492</v>
      </c>
      <c r="I1456" s="425" t="e">
        <v>#N/A</v>
      </c>
      <c r="J1456" s="91">
        <v>5.4179999999999999E-2</v>
      </c>
      <c r="K1456" s="425">
        <v>4.3791000000000002</v>
      </c>
      <c r="L1456" s="542" t="s">
        <v>622</v>
      </c>
    </row>
    <row r="1457" spans="1:12" ht="15">
      <c r="A1457">
        <v>266436</v>
      </c>
      <c r="B1457" t="str">
        <f t="shared" si="56"/>
        <v>SEVROLL vzorky Vass-Contakt Bt.</v>
      </c>
      <c r="C1457" s="209" t="e">
        <f t="shared" si="57"/>
        <v>#N/A</v>
      </c>
      <c r="D1457" t="s">
        <v>5206</v>
      </c>
      <c r="E1457" t="s">
        <v>6380</v>
      </c>
      <c r="F1457" t="s">
        <v>5206</v>
      </c>
      <c r="G1457" t="s">
        <v>7546</v>
      </c>
      <c r="H1457" s="214">
        <v>0.59492</v>
      </c>
      <c r="I1457" s="425" t="e">
        <v>#N/A</v>
      </c>
      <c r="J1457" s="91">
        <v>5.4179999999999999E-2</v>
      </c>
      <c r="K1457" s="425">
        <v>4.3791000000000002</v>
      </c>
      <c r="L1457" s="542" t="s">
        <v>622</v>
      </c>
    </row>
    <row r="1458" spans="1:12" ht="15">
      <c r="A1458">
        <v>266437</v>
      </c>
      <c r="B1458" t="str">
        <f t="shared" si="56"/>
        <v>SEVROLL vzorky BO-NA-FA</v>
      </c>
      <c r="C1458" s="209" t="e">
        <f t="shared" si="57"/>
        <v>#N/A</v>
      </c>
      <c r="D1458" t="s">
        <v>5207</v>
      </c>
      <c r="E1458" t="s">
        <v>6381</v>
      </c>
      <c r="F1458" t="s">
        <v>6998</v>
      </c>
      <c r="G1458" t="s">
        <v>7547</v>
      </c>
      <c r="H1458" s="214">
        <v>0.59492</v>
      </c>
      <c r="I1458" s="425" t="e">
        <v>#N/A</v>
      </c>
      <c r="J1458" s="91">
        <v>5.4179999999999999E-2</v>
      </c>
      <c r="K1458" s="425">
        <v>4.3791000000000002</v>
      </c>
      <c r="L1458" s="542" t="s">
        <v>622</v>
      </c>
    </row>
    <row r="1459" spans="1:12" ht="15">
      <c r="A1459">
        <v>375328</v>
      </c>
      <c r="B1459" t="str">
        <f t="shared" si="56"/>
        <v>SEVROLL Držiak horného vedenia pre lamino 16 - 25mm</v>
      </c>
      <c r="C1459" s="209">
        <f t="shared" si="57"/>
        <v>2.1693600000000002</v>
      </c>
      <c r="D1459" t="s">
        <v>5208</v>
      </c>
      <c r="E1459" t="s">
        <v>6382</v>
      </c>
      <c r="F1459" t="s">
        <v>6999</v>
      </c>
      <c r="G1459" t="s">
        <v>84</v>
      </c>
      <c r="H1459" s="214">
        <v>55.22748</v>
      </c>
      <c r="I1459" s="425">
        <v>2.1693600000000002</v>
      </c>
      <c r="J1459" s="91">
        <v>6.49</v>
      </c>
      <c r="K1459" s="425">
        <v>620.89225999999996</v>
      </c>
      <c r="L1459" s="542" t="s">
        <v>622</v>
      </c>
    </row>
    <row r="1460" spans="1:12" ht="15">
      <c r="A1460">
        <v>375331</v>
      </c>
      <c r="B1460" t="str">
        <f t="shared" si="56"/>
        <v/>
      </c>
      <c r="C1460" s="209">
        <f t="shared" si="57"/>
        <v>37.433509999999998</v>
      </c>
      <c r="D1460" t="s">
        <v>5209</v>
      </c>
      <c r="E1460" t="s">
        <v>6383</v>
      </c>
      <c r="F1460" t="s">
        <v>84</v>
      </c>
      <c r="G1460" t="s">
        <v>84</v>
      </c>
      <c r="H1460" s="214">
        <v>981.18431999999996</v>
      </c>
      <c r="I1460" s="425">
        <v>37.433509999999998</v>
      </c>
      <c r="J1460" s="91">
        <v>113</v>
      </c>
      <c r="K1460" s="425">
        <v>11030.91713</v>
      </c>
      <c r="L1460" s="542" t="s">
        <v>622</v>
      </c>
    </row>
    <row r="1461" spans="1:12" ht="15">
      <c r="A1461">
        <v>375471</v>
      </c>
      <c r="B1461" t="e">
        <f t="shared" si="56"/>
        <v>#N/A</v>
      </c>
      <c r="C1461" s="209" t="e">
        <f t="shared" si="57"/>
        <v>#N/A</v>
      </c>
      <c r="D1461" t="s">
        <v>5210</v>
      </c>
      <c r="E1461" t="e">
        <v>#N/A</v>
      </c>
      <c r="F1461" t="e">
        <v>#N/A</v>
      </c>
      <c r="G1461" t="e">
        <v>#N/A</v>
      </c>
      <c r="H1461" s="214">
        <v>513</v>
      </c>
      <c r="I1461" s="425" t="e">
        <v>#N/A</v>
      </c>
      <c r="J1461" s="91">
        <v>87.844939999999994</v>
      </c>
      <c r="K1461" s="425">
        <v>6426.5579100000004</v>
      </c>
      <c r="L1461" s="542" t="s">
        <v>622</v>
      </c>
    </row>
    <row r="1462" spans="1:12" ht="15">
      <c r="A1462">
        <v>375472</v>
      </c>
      <c r="B1462" t="e">
        <f t="shared" si="56"/>
        <v>#N/A</v>
      </c>
      <c r="C1462" s="209" t="e">
        <f t="shared" si="57"/>
        <v>#N/A</v>
      </c>
      <c r="D1462" t="s">
        <v>5211</v>
      </c>
      <c r="E1462" t="e">
        <v>#N/A</v>
      </c>
      <c r="F1462" t="e">
        <v>#N/A</v>
      </c>
      <c r="G1462" t="e">
        <v>#N/A</v>
      </c>
      <c r="H1462" s="214">
        <v>513</v>
      </c>
      <c r="I1462" s="425" t="e">
        <v>#N/A</v>
      </c>
      <c r="J1462" s="91">
        <v>87.844939999999994</v>
      </c>
      <c r="K1462" s="425">
        <v>6426.5579100000004</v>
      </c>
      <c r="L1462" s="542" t="s">
        <v>622</v>
      </c>
    </row>
    <row r="1463" spans="1:12" ht="15">
      <c r="A1463">
        <v>87340</v>
      </c>
      <c r="B1463" t="e">
        <f t="shared" si="56"/>
        <v>#N/A</v>
      </c>
      <c r="C1463" s="209" t="e">
        <f t="shared" si="57"/>
        <v>#N/A</v>
      </c>
      <c r="D1463" t="s">
        <v>5212</v>
      </c>
      <c r="E1463" t="e">
        <v>#N/A</v>
      </c>
      <c r="F1463" t="e">
        <v>#N/A</v>
      </c>
      <c r="G1463" t="e">
        <v>#N/A</v>
      </c>
      <c r="H1463" s="214">
        <v>427.08434999999997</v>
      </c>
      <c r="I1463" s="425" t="e">
        <v>#N/A</v>
      </c>
      <c r="J1463" s="91">
        <v>6.4553500000000001</v>
      </c>
      <c r="K1463" s="425">
        <v>546.48991000000001</v>
      </c>
      <c r="L1463" s="542" t="s">
        <v>620</v>
      </c>
    </row>
    <row r="1464" spans="1:12" ht="15">
      <c r="A1464">
        <v>87341</v>
      </c>
      <c r="B1464" t="e">
        <f t="shared" si="56"/>
        <v>#N/A</v>
      </c>
      <c r="C1464" s="209" t="e">
        <f t="shared" si="57"/>
        <v>#N/A</v>
      </c>
      <c r="D1464" t="s">
        <v>5213</v>
      </c>
      <c r="E1464" t="e">
        <v>#N/A</v>
      </c>
      <c r="F1464" t="e">
        <v>#N/A</v>
      </c>
      <c r="G1464" t="e">
        <v>#N/A</v>
      </c>
      <c r="H1464" s="214">
        <v>17.19304</v>
      </c>
      <c r="I1464" s="425" t="e">
        <v>#N/A</v>
      </c>
      <c r="J1464" s="91">
        <v>0.25990000000000002</v>
      </c>
      <c r="K1464" s="425">
        <v>22.001550000000002</v>
      </c>
      <c r="L1464" s="542" t="s">
        <v>620</v>
      </c>
    </row>
    <row r="1465" spans="1:12" ht="15">
      <c r="A1465">
        <v>87342</v>
      </c>
      <c r="B1465" t="e">
        <f t="shared" si="56"/>
        <v>#N/A</v>
      </c>
      <c r="C1465" s="209" t="e">
        <f t="shared" si="57"/>
        <v>#N/A</v>
      </c>
      <c r="D1465" t="s">
        <v>5214</v>
      </c>
      <c r="E1465" t="e">
        <v>#N/A</v>
      </c>
      <c r="F1465" t="e">
        <v>#N/A</v>
      </c>
      <c r="G1465" t="e">
        <v>#N/A</v>
      </c>
      <c r="H1465" s="214">
        <v>126.7518</v>
      </c>
      <c r="I1465" s="425" t="e">
        <v>#N/A</v>
      </c>
      <c r="J1465" s="91">
        <v>1.91564</v>
      </c>
      <c r="K1465" s="425">
        <v>162.17250000000001</v>
      </c>
      <c r="L1465" s="542" t="s">
        <v>620</v>
      </c>
    </row>
    <row r="1466" spans="1:12" ht="15">
      <c r="A1466">
        <v>87343</v>
      </c>
      <c r="B1466" t="e">
        <f t="shared" si="56"/>
        <v>#N/A</v>
      </c>
      <c r="C1466" s="209" t="e">
        <f t="shared" si="57"/>
        <v>#N/A</v>
      </c>
      <c r="D1466" t="s">
        <v>5215</v>
      </c>
      <c r="E1466" t="e">
        <v>#N/A</v>
      </c>
      <c r="F1466" t="e">
        <v>#N/A</v>
      </c>
      <c r="G1466" t="e">
        <v>#N/A</v>
      </c>
      <c r="H1466" s="214">
        <v>33.894210000000001</v>
      </c>
      <c r="I1466" s="425" t="e">
        <v>#N/A</v>
      </c>
      <c r="J1466" s="91">
        <v>0.46110000000000001</v>
      </c>
      <c r="K1466" s="425">
        <v>39.035049999999998</v>
      </c>
      <c r="L1466" s="542" t="s">
        <v>620</v>
      </c>
    </row>
    <row r="1467" spans="1:12" ht="15">
      <c r="A1467">
        <v>88150</v>
      </c>
      <c r="B1467" t="e">
        <f t="shared" si="56"/>
        <v>#N/A</v>
      </c>
      <c r="C1467" s="209" t="e">
        <f t="shared" si="57"/>
        <v>#N/A</v>
      </c>
      <c r="D1467" t="s">
        <v>5216</v>
      </c>
      <c r="E1467" t="e">
        <v>#N/A</v>
      </c>
      <c r="F1467" t="e">
        <v>#N/A</v>
      </c>
      <c r="G1467" t="e">
        <v>#N/A</v>
      </c>
      <c r="H1467" s="214">
        <v>124.00118999999999</v>
      </c>
      <c r="I1467" s="425" t="e">
        <v>#N/A</v>
      </c>
      <c r="J1467" s="91">
        <v>27.733879999999999</v>
      </c>
      <c r="K1467" s="425">
        <v>2216.7762499999999</v>
      </c>
      <c r="L1467" s="542" t="s">
        <v>621</v>
      </c>
    </row>
    <row r="1468" spans="1:12" ht="15">
      <c r="A1468">
        <v>88151</v>
      </c>
      <c r="B1468" t="e">
        <f t="shared" si="56"/>
        <v>#N/A</v>
      </c>
      <c r="C1468" s="209" t="e">
        <f t="shared" si="57"/>
        <v>#N/A</v>
      </c>
      <c r="D1468" t="s">
        <v>5217</v>
      </c>
      <c r="E1468" t="e">
        <v>#N/A</v>
      </c>
      <c r="F1468" t="e">
        <v>#N/A</v>
      </c>
      <c r="G1468" t="e">
        <v>#N/A</v>
      </c>
      <c r="H1468" s="214">
        <v>181.32248999999999</v>
      </c>
      <c r="I1468" s="425" t="e">
        <v>#N/A</v>
      </c>
      <c r="J1468" s="91">
        <v>40.554270000000002</v>
      </c>
      <c r="K1468" s="425">
        <v>3241.51244</v>
      </c>
      <c r="L1468" s="542" t="s">
        <v>621</v>
      </c>
    </row>
    <row r="1469" spans="1:12" ht="15">
      <c r="A1469">
        <v>88152</v>
      </c>
      <c r="B1469" t="e">
        <f t="shared" si="56"/>
        <v>#N/A</v>
      </c>
      <c r="C1469" s="209" t="e">
        <f t="shared" si="57"/>
        <v>#N/A</v>
      </c>
      <c r="D1469" t="s">
        <v>5218</v>
      </c>
      <c r="E1469" t="e">
        <v>#N/A</v>
      </c>
      <c r="F1469" t="e">
        <v>#N/A</v>
      </c>
      <c r="G1469" t="e">
        <v>#N/A</v>
      </c>
      <c r="H1469" s="214">
        <v>286.61786999999998</v>
      </c>
      <c r="I1469" s="425" t="e">
        <v>#N/A</v>
      </c>
      <c r="J1469" s="91">
        <v>64.10445</v>
      </c>
      <c r="K1469" s="425">
        <v>5482.0442000000003</v>
      </c>
      <c r="L1469" s="542" t="s">
        <v>621</v>
      </c>
    </row>
    <row r="1470" spans="1:12" ht="15">
      <c r="A1470">
        <v>88153</v>
      </c>
      <c r="B1470" t="e">
        <f t="shared" si="56"/>
        <v>#N/A</v>
      </c>
      <c r="C1470" s="209" t="e">
        <f t="shared" si="57"/>
        <v>#N/A</v>
      </c>
      <c r="D1470" t="s">
        <v>5219</v>
      </c>
      <c r="E1470" t="e">
        <v>#N/A</v>
      </c>
      <c r="F1470" t="e">
        <v>#N/A</v>
      </c>
      <c r="G1470" t="e">
        <v>#N/A</v>
      </c>
      <c r="H1470" s="214">
        <v>429.92680999999999</v>
      </c>
      <c r="I1470" s="425" t="e">
        <v>#N/A</v>
      </c>
      <c r="J1470" s="91">
        <v>96.156679999999994</v>
      </c>
      <c r="K1470" s="425">
        <v>7685.8259699999999</v>
      </c>
      <c r="L1470" s="542" t="s">
        <v>621</v>
      </c>
    </row>
    <row r="1471" spans="1:12" ht="15">
      <c r="A1471">
        <v>88154</v>
      </c>
      <c r="B1471" t="e">
        <f t="shared" si="56"/>
        <v>#N/A</v>
      </c>
      <c r="C1471" s="209" t="e">
        <f t="shared" si="57"/>
        <v>#N/A</v>
      </c>
      <c r="D1471" t="s">
        <v>5220</v>
      </c>
      <c r="E1471" t="e">
        <v>#N/A</v>
      </c>
      <c r="F1471" t="e">
        <v>#N/A</v>
      </c>
      <c r="G1471" t="e">
        <v>#N/A</v>
      </c>
      <c r="H1471" s="214">
        <v>526.42012999999997</v>
      </c>
      <c r="I1471" s="425" t="e">
        <v>#N/A</v>
      </c>
      <c r="J1471" s="91">
        <v>117.73820000000001</v>
      </c>
      <c r="K1471" s="425">
        <v>10070.71823</v>
      </c>
      <c r="L1471" s="542" t="s">
        <v>621</v>
      </c>
    </row>
    <row r="1472" spans="1:12" ht="15">
      <c r="A1472">
        <v>88155</v>
      </c>
      <c r="B1472" t="e">
        <f t="shared" si="56"/>
        <v>#N/A</v>
      </c>
      <c r="C1472" s="209" t="e">
        <f t="shared" si="57"/>
        <v>#N/A</v>
      </c>
      <c r="D1472" t="s">
        <v>5221</v>
      </c>
      <c r="E1472" t="e">
        <v>#N/A</v>
      </c>
      <c r="F1472" t="e">
        <v>#N/A</v>
      </c>
      <c r="G1472" t="e">
        <v>#N/A</v>
      </c>
      <c r="H1472" s="214">
        <v>789.62856999999997</v>
      </c>
      <c r="I1472" s="425" t="e">
        <v>#N/A</v>
      </c>
      <c r="J1472" s="91">
        <v>176.60694000000001</v>
      </c>
      <c r="K1472" s="425">
        <v>15106.077359999999</v>
      </c>
      <c r="L1472" s="542" t="s">
        <v>621</v>
      </c>
    </row>
    <row r="1473" spans="1:12" ht="15">
      <c r="A1473">
        <v>88156</v>
      </c>
      <c r="B1473" t="e">
        <f t="shared" si="56"/>
        <v>#N/A</v>
      </c>
      <c r="C1473" s="209" t="e">
        <f t="shared" si="57"/>
        <v>#N/A</v>
      </c>
      <c r="D1473" t="s">
        <v>5222</v>
      </c>
      <c r="E1473" t="e">
        <v>#N/A</v>
      </c>
      <c r="F1473" t="e">
        <v>#N/A</v>
      </c>
      <c r="G1473" t="e">
        <v>#N/A</v>
      </c>
      <c r="H1473" s="214">
        <v>8.77773</v>
      </c>
      <c r="I1473" s="425" t="e">
        <v>#N/A</v>
      </c>
      <c r="J1473" s="91">
        <v>1.96322</v>
      </c>
      <c r="K1473" s="425">
        <v>156.91990000000001</v>
      </c>
      <c r="L1473" s="542" t="s">
        <v>621</v>
      </c>
    </row>
    <row r="1474" spans="1:12" ht="15">
      <c r="A1474">
        <v>88157</v>
      </c>
      <c r="B1474" t="e">
        <f t="shared" si="56"/>
        <v>#N/A</v>
      </c>
      <c r="C1474" s="209" t="e">
        <f t="shared" si="57"/>
        <v>#N/A</v>
      </c>
      <c r="D1474" t="s">
        <v>5223</v>
      </c>
      <c r="E1474" t="e">
        <v>#N/A</v>
      </c>
      <c r="F1474" t="e">
        <v>#N/A</v>
      </c>
      <c r="G1474" t="e">
        <v>#N/A</v>
      </c>
      <c r="H1474" s="214">
        <v>21.056809999999999</v>
      </c>
      <c r="I1474" s="425" t="e">
        <v>#N/A</v>
      </c>
      <c r="J1474" s="91">
        <v>4.7095399999999996</v>
      </c>
      <c r="K1474" s="425">
        <v>376.43369000000001</v>
      </c>
      <c r="L1474" s="542" t="s">
        <v>621</v>
      </c>
    </row>
    <row r="1475" spans="1:12" ht="15">
      <c r="A1475">
        <v>87305</v>
      </c>
      <c r="B1475" t="e">
        <f t="shared" si="56"/>
        <v>#N/A</v>
      </c>
      <c r="C1475" s="209" t="e">
        <f t="shared" si="57"/>
        <v>#N/A</v>
      </c>
      <c r="D1475" t="s">
        <v>5224</v>
      </c>
      <c r="E1475" t="e">
        <v>#N/A</v>
      </c>
      <c r="F1475" t="e">
        <v>#N/A</v>
      </c>
      <c r="G1475" t="e">
        <v>#N/A</v>
      </c>
      <c r="H1475" s="214">
        <v>187.20765</v>
      </c>
      <c r="I1475" s="425" t="e">
        <v>#N/A</v>
      </c>
      <c r="J1475" s="91">
        <v>2.5150700000000001</v>
      </c>
      <c r="K1475" s="425">
        <v>212.91824</v>
      </c>
      <c r="L1475" s="542" t="s">
        <v>620</v>
      </c>
    </row>
    <row r="1476" spans="1:12" ht="15">
      <c r="A1476">
        <v>87306</v>
      </c>
      <c r="B1476" t="e">
        <f t="shared" si="56"/>
        <v>#N/A</v>
      </c>
      <c r="C1476" s="209" t="e">
        <f t="shared" si="57"/>
        <v>#N/A</v>
      </c>
      <c r="D1476" t="s">
        <v>5225</v>
      </c>
      <c r="E1476" t="e">
        <v>#N/A</v>
      </c>
      <c r="F1476" t="e">
        <v>#N/A</v>
      </c>
      <c r="G1476" t="e">
        <v>#N/A</v>
      </c>
      <c r="H1476" s="214">
        <v>280.81146999999999</v>
      </c>
      <c r="I1476" s="425" t="e">
        <v>#N/A</v>
      </c>
      <c r="J1476" s="91">
        <v>3.7726000000000002</v>
      </c>
      <c r="K1476" s="425">
        <v>319.37722000000002</v>
      </c>
      <c r="L1476" s="542" t="s">
        <v>620</v>
      </c>
    </row>
    <row r="1477" spans="1:12" ht="15">
      <c r="A1477">
        <v>87372</v>
      </c>
      <c r="B1477" t="e">
        <f t="shared" si="56"/>
        <v>#N/A</v>
      </c>
      <c r="C1477" s="209" t="e">
        <f t="shared" si="57"/>
        <v>#N/A</v>
      </c>
      <c r="D1477" t="s">
        <v>5226</v>
      </c>
      <c r="E1477" t="e">
        <v>#N/A</v>
      </c>
      <c r="F1477" t="e">
        <v>#N/A</v>
      </c>
      <c r="G1477" t="e">
        <v>#N/A</v>
      </c>
      <c r="H1477" s="214">
        <v>1378.1398799999999</v>
      </c>
      <c r="I1477" s="425" t="e">
        <v>#N/A</v>
      </c>
      <c r="J1477" s="91">
        <v>248.9152</v>
      </c>
      <c r="K1477" s="425">
        <v>20188.908350000002</v>
      </c>
      <c r="L1477" s="542" t="s">
        <v>620</v>
      </c>
    </row>
    <row r="1478" spans="1:12" ht="15">
      <c r="A1478">
        <v>88159</v>
      </c>
      <c r="B1478" t="e">
        <f t="shared" si="56"/>
        <v>#N/A</v>
      </c>
      <c r="C1478" s="209" t="e">
        <f t="shared" si="57"/>
        <v>#N/A</v>
      </c>
      <c r="D1478" t="s">
        <v>5227</v>
      </c>
      <c r="E1478" t="e">
        <v>#N/A</v>
      </c>
      <c r="F1478" t="e">
        <v>#N/A</v>
      </c>
      <c r="G1478" t="e">
        <v>#N/A</v>
      </c>
      <c r="H1478" s="214">
        <v>152.19049999999999</v>
      </c>
      <c r="I1478" s="425" t="e">
        <v>#N/A</v>
      </c>
      <c r="J1478" s="91">
        <v>34.038670000000003</v>
      </c>
      <c r="K1478" s="425">
        <v>2638.36058</v>
      </c>
      <c r="L1478" s="542" t="s">
        <v>622</v>
      </c>
    </row>
    <row r="1479" spans="1:12" ht="15">
      <c r="A1479">
        <v>87358</v>
      </c>
      <c r="B1479" t="e">
        <f t="shared" si="56"/>
        <v>#N/A</v>
      </c>
      <c r="C1479" s="209" t="e">
        <f t="shared" si="57"/>
        <v>#N/A</v>
      </c>
      <c r="D1479" t="s">
        <v>5228</v>
      </c>
      <c r="E1479" t="e">
        <v>#N/A</v>
      </c>
      <c r="F1479" t="e">
        <v>#N/A</v>
      </c>
      <c r="G1479" t="e">
        <v>#N/A</v>
      </c>
      <c r="H1479" s="214">
        <v>17.649730000000002</v>
      </c>
      <c r="I1479" s="425" t="e">
        <v>#N/A</v>
      </c>
      <c r="J1479" s="91">
        <v>3.18784</v>
      </c>
      <c r="K1479" s="425">
        <v>258.55786000000001</v>
      </c>
      <c r="L1479" s="542" t="s">
        <v>620</v>
      </c>
    </row>
    <row r="1480" spans="1:12" ht="15">
      <c r="A1480">
        <v>87359</v>
      </c>
      <c r="B1480" t="e">
        <f t="shared" si="56"/>
        <v>#N/A</v>
      </c>
      <c r="C1480" s="209" t="e">
        <f t="shared" si="57"/>
        <v>#N/A</v>
      </c>
      <c r="D1480" t="s">
        <v>5229</v>
      </c>
      <c r="E1480" t="e">
        <v>#N/A</v>
      </c>
      <c r="F1480" t="e">
        <v>#N/A</v>
      </c>
      <c r="G1480" t="e">
        <v>#N/A</v>
      </c>
      <c r="H1480" s="214">
        <v>502.10449</v>
      </c>
      <c r="I1480" s="425" t="e">
        <v>#N/A</v>
      </c>
      <c r="J1480" s="91">
        <v>90.688509999999994</v>
      </c>
      <c r="K1480" s="425">
        <v>7355.5243899999996</v>
      </c>
      <c r="L1480" s="542" t="s">
        <v>620</v>
      </c>
    </row>
    <row r="1481" spans="1:12" ht="15">
      <c r="A1481">
        <v>92115</v>
      </c>
      <c r="B1481" t="e">
        <f t="shared" si="56"/>
        <v>#N/A</v>
      </c>
      <c r="C1481" s="209" t="e">
        <f t="shared" si="57"/>
        <v>#N/A</v>
      </c>
      <c r="D1481" t="s">
        <v>5230</v>
      </c>
      <c r="E1481" t="e">
        <v>#N/A</v>
      </c>
      <c r="F1481" t="e">
        <v>#N/A</v>
      </c>
      <c r="G1481" t="e">
        <v>#N/A</v>
      </c>
      <c r="H1481" s="214">
        <v>103.47084</v>
      </c>
      <c r="I1481" s="425" t="e">
        <v>#N/A</v>
      </c>
      <c r="J1481" s="91">
        <v>8.0443899999999999</v>
      </c>
      <c r="K1481" s="425">
        <v>668.15464999999995</v>
      </c>
      <c r="L1481" s="542" t="s">
        <v>1025</v>
      </c>
    </row>
    <row r="1482" spans="1:12" ht="15">
      <c r="A1482">
        <v>92116</v>
      </c>
      <c r="B1482" t="e">
        <f t="shared" si="56"/>
        <v>#N/A</v>
      </c>
      <c r="C1482" s="209" t="e">
        <f t="shared" si="57"/>
        <v>#N/A</v>
      </c>
      <c r="D1482" t="s">
        <v>5231</v>
      </c>
      <c r="E1482" t="e">
        <v>#N/A</v>
      </c>
      <c r="F1482" t="e">
        <v>#N/A</v>
      </c>
      <c r="G1482" t="e">
        <v>#N/A</v>
      </c>
      <c r="H1482" s="214">
        <v>172.55951999999999</v>
      </c>
      <c r="I1482" s="425" t="e">
        <v>#N/A</v>
      </c>
      <c r="J1482" s="91">
        <v>13.415710000000001</v>
      </c>
      <c r="K1482" s="425">
        <v>1114.28925</v>
      </c>
      <c r="L1482" s="542" t="s">
        <v>1025</v>
      </c>
    </row>
    <row r="1483" spans="1:12" ht="15">
      <c r="A1483">
        <v>92117</v>
      </c>
      <c r="B1483" t="e">
        <f t="shared" si="56"/>
        <v>#N/A</v>
      </c>
      <c r="C1483" s="209" t="e">
        <f t="shared" si="57"/>
        <v>#N/A</v>
      </c>
      <c r="D1483" t="s">
        <v>5232</v>
      </c>
      <c r="E1483" t="e">
        <v>#N/A</v>
      </c>
      <c r="F1483" t="e">
        <v>#N/A</v>
      </c>
      <c r="G1483" t="e">
        <v>#N/A</v>
      </c>
      <c r="H1483" s="214">
        <v>258.6771</v>
      </c>
      <c r="I1483" s="425" t="e">
        <v>#N/A</v>
      </c>
      <c r="J1483" s="91">
        <v>20.110959999999999</v>
      </c>
      <c r="K1483" s="425">
        <v>1670.38642</v>
      </c>
      <c r="L1483" s="542" t="s">
        <v>1025</v>
      </c>
    </row>
    <row r="1484" spans="1:12" ht="15">
      <c r="A1484">
        <v>92118</v>
      </c>
      <c r="B1484" t="e">
        <f t="shared" si="56"/>
        <v>#N/A</v>
      </c>
      <c r="C1484" s="209" t="e">
        <f t="shared" si="57"/>
        <v>#N/A</v>
      </c>
      <c r="D1484" t="s">
        <v>5233</v>
      </c>
      <c r="E1484" t="e">
        <v>#N/A</v>
      </c>
      <c r="F1484" t="e">
        <v>#N/A</v>
      </c>
      <c r="G1484" t="e">
        <v>#N/A</v>
      </c>
      <c r="H1484" s="214">
        <v>103.47084</v>
      </c>
      <c r="I1484" s="425" t="e">
        <v>#N/A</v>
      </c>
      <c r="J1484" s="91">
        <v>8.0443899999999999</v>
      </c>
      <c r="K1484" s="425">
        <v>668.15464999999995</v>
      </c>
      <c r="L1484" s="542" t="s">
        <v>1025</v>
      </c>
    </row>
    <row r="1485" spans="1:12" ht="15">
      <c r="A1485">
        <v>92119</v>
      </c>
      <c r="B1485" t="e">
        <f t="shared" si="56"/>
        <v>#N/A</v>
      </c>
      <c r="C1485" s="209" t="e">
        <f t="shared" si="57"/>
        <v>#N/A</v>
      </c>
      <c r="D1485" t="s">
        <v>5234</v>
      </c>
      <c r="E1485" t="e">
        <v>#N/A</v>
      </c>
      <c r="F1485" t="e">
        <v>#N/A</v>
      </c>
      <c r="G1485" t="e">
        <v>#N/A</v>
      </c>
      <c r="H1485" s="214">
        <v>172.55951999999999</v>
      </c>
      <c r="I1485" s="425" t="e">
        <v>#N/A</v>
      </c>
      <c r="J1485" s="91">
        <v>13.415710000000001</v>
      </c>
      <c r="K1485" s="425">
        <v>1114.28925</v>
      </c>
      <c r="L1485" s="542" t="s">
        <v>1025</v>
      </c>
    </row>
    <row r="1486" spans="1:12" ht="15">
      <c r="A1486">
        <v>92120</v>
      </c>
      <c r="B1486" t="e">
        <f t="shared" ref="B1486:B1500" si="58">IF($A$2=1,D1486,IF($A$2=2,F1486,IF($A$2=3,G1486,IF($A$2=4,E1486,"zadat jazyk"))))</f>
        <v>#N/A</v>
      </c>
      <c r="C1486" s="209" t="e">
        <f t="shared" ref="C1486:C1500" si="59">IF($A$2=1,H1486,IF($A$2=2,I1486,IF($A$2=3,J1486,IF($A$2=4,K1486,"zadat jazyk"))))</f>
        <v>#N/A</v>
      </c>
      <c r="D1486" t="s">
        <v>5235</v>
      </c>
      <c r="E1486" t="e">
        <v>#N/A</v>
      </c>
      <c r="F1486" t="e">
        <v>#N/A</v>
      </c>
      <c r="G1486" t="e">
        <v>#N/A</v>
      </c>
      <c r="H1486" s="214">
        <v>258.6771</v>
      </c>
      <c r="I1486" s="425" t="e">
        <v>#N/A</v>
      </c>
      <c r="J1486" s="91">
        <v>20.110959999999999</v>
      </c>
      <c r="K1486" s="425">
        <v>1670.38642</v>
      </c>
      <c r="L1486" s="542" t="s">
        <v>1025</v>
      </c>
    </row>
    <row r="1487" spans="1:12" ht="15">
      <c r="A1487">
        <v>92107</v>
      </c>
      <c r="B1487" t="e">
        <f t="shared" si="58"/>
        <v>#N/A</v>
      </c>
      <c r="C1487" s="209" t="e">
        <f t="shared" si="59"/>
        <v>#N/A</v>
      </c>
      <c r="D1487" t="s">
        <v>5236</v>
      </c>
      <c r="E1487" t="e">
        <v>#N/A</v>
      </c>
      <c r="F1487" t="e">
        <v>#N/A</v>
      </c>
      <c r="G1487" t="e">
        <v>#N/A</v>
      </c>
      <c r="H1487" s="214">
        <v>113.68818</v>
      </c>
      <c r="I1487" s="425" t="e">
        <v>#N/A</v>
      </c>
      <c r="J1487" s="91">
        <v>8.8387399999999996</v>
      </c>
      <c r="K1487" s="425">
        <v>734.13233000000002</v>
      </c>
      <c r="L1487" s="542" t="s">
        <v>1025</v>
      </c>
    </row>
    <row r="1488" spans="1:12" ht="15">
      <c r="A1488">
        <v>92108</v>
      </c>
      <c r="B1488" t="e">
        <f t="shared" si="58"/>
        <v>#N/A</v>
      </c>
      <c r="C1488" s="209" t="e">
        <f t="shared" si="59"/>
        <v>#N/A</v>
      </c>
      <c r="D1488" t="s">
        <v>5237</v>
      </c>
      <c r="E1488" t="e">
        <v>#N/A</v>
      </c>
      <c r="F1488" t="e">
        <v>#N/A</v>
      </c>
      <c r="G1488" t="e">
        <v>#N/A</v>
      </c>
      <c r="H1488" s="214">
        <v>188.12880000000001</v>
      </c>
      <c r="I1488" s="425" t="e">
        <v>#N/A</v>
      </c>
      <c r="J1488" s="91">
        <v>14.626150000000001</v>
      </c>
      <c r="K1488" s="425">
        <v>1214.8266900000001</v>
      </c>
      <c r="L1488" s="542" t="s">
        <v>1025</v>
      </c>
    </row>
    <row r="1489" spans="1:12" ht="15">
      <c r="A1489">
        <v>92109</v>
      </c>
      <c r="B1489" t="e">
        <f t="shared" si="58"/>
        <v>#N/A</v>
      </c>
      <c r="C1489" s="209" t="e">
        <f t="shared" si="59"/>
        <v>#N/A</v>
      </c>
      <c r="D1489" t="s">
        <v>5238</v>
      </c>
      <c r="E1489" t="e">
        <v>#N/A</v>
      </c>
      <c r="F1489" t="e">
        <v>#N/A</v>
      </c>
      <c r="G1489" t="e">
        <v>#N/A</v>
      </c>
      <c r="H1489" s="214">
        <v>282.03102000000001</v>
      </c>
      <c r="I1489" s="425" t="e">
        <v>#N/A</v>
      </c>
      <c r="J1489" s="91">
        <v>21.926639999999999</v>
      </c>
      <c r="K1489" s="425">
        <v>1821.1927599999999</v>
      </c>
      <c r="L1489" s="542" t="s">
        <v>1025</v>
      </c>
    </row>
    <row r="1490" spans="1:12" ht="15">
      <c r="A1490">
        <v>85861</v>
      </c>
      <c r="B1490" t="e">
        <f t="shared" si="58"/>
        <v>#N/A</v>
      </c>
      <c r="C1490" s="209" t="e">
        <f t="shared" si="59"/>
        <v>#N/A</v>
      </c>
      <c r="D1490" t="s">
        <v>5239</v>
      </c>
      <c r="E1490" t="e">
        <v>#N/A</v>
      </c>
      <c r="F1490" t="e">
        <v>#N/A</v>
      </c>
      <c r="G1490" t="e">
        <v>#N/A</v>
      </c>
      <c r="H1490" s="214">
        <v>11.698230000000001</v>
      </c>
      <c r="I1490" s="425" t="e">
        <v>#N/A</v>
      </c>
      <c r="J1490" s="91">
        <v>2.6164000000000001</v>
      </c>
      <c r="K1490" s="425">
        <v>209.12984</v>
      </c>
      <c r="L1490" s="542" t="s">
        <v>622</v>
      </c>
    </row>
    <row r="1491" spans="1:12" ht="15">
      <c r="A1491">
        <v>85864</v>
      </c>
      <c r="B1491" t="e">
        <f t="shared" si="58"/>
        <v>#N/A</v>
      </c>
      <c r="C1491" s="209" t="e">
        <f t="shared" si="59"/>
        <v>#N/A</v>
      </c>
      <c r="D1491" t="s">
        <v>5240</v>
      </c>
      <c r="E1491" t="e">
        <v>#N/A</v>
      </c>
      <c r="F1491" t="e">
        <v>#N/A</v>
      </c>
      <c r="G1491" t="e">
        <v>#N/A</v>
      </c>
      <c r="H1491" s="214">
        <v>11.698230000000001</v>
      </c>
      <c r="I1491" s="425" t="e">
        <v>#N/A</v>
      </c>
      <c r="J1491" s="91">
        <v>2.6164000000000001</v>
      </c>
      <c r="K1491" s="425">
        <v>209.12984</v>
      </c>
      <c r="L1491" s="542" t="s">
        <v>921</v>
      </c>
    </row>
    <row r="1492" spans="1:12" ht="15">
      <c r="A1492">
        <v>175828</v>
      </c>
      <c r="B1492" t="e">
        <f t="shared" si="58"/>
        <v>#N/A</v>
      </c>
      <c r="C1492" s="209" t="e">
        <f t="shared" si="59"/>
        <v>#N/A</v>
      </c>
      <c r="D1492" t="s">
        <v>5241</v>
      </c>
      <c r="E1492" t="e">
        <v>#N/A</v>
      </c>
      <c r="F1492" t="e">
        <v>#N/A</v>
      </c>
      <c r="G1492" t="e">
        <v>#N/A</v>
      </c>
      <c r="H1492" s="214">
        <v>220.79664</v>
      </c>
      <c r="I1492" s="425" t="e">
        <v>#N/A</v>
      </c>
      <c r="J1492" s="91">
        <v>41.236280000000001</v>
      </c>
      <c r="K1492" s="425">
        <v>3325.1643600000002</v>
      </c>
      <c r="L1492" s="542" t="s">
        <v>622</v>
      </c>
    </row>
    <row r="1493" spans="1:12" ht="15">
      <c r="A1493">
        <v>176321</v>
      </c>
      <c r="B1493" t="e">
        <f t="shared" si="58"/>
        <v>#N/A</v>
      </c>
      <c r="C1493" s="209" t="e">
        <f t="shared" si="59"/>
        <v>#N/A</v>
      </c>
      <c r="D1493" t="s">
        <v>4854</v>
      </c>
      <c r="E1493" t="e">
        <v>#N/A</v>
      </c>
      <c r="F1493" t="e">
        <v>#N/A</v>
      </c>
      <c r="G1493" t="e">
        <v>#N/A</v>
      </c>
      <c r="H1493" s="214">
        <v>157.73939999999999</v>
      </c>
      <c r="I1493" s="425" t="e">
        <v>#N/A</v>
      </c>
      <c r="J1493" s="91">
        <v>29.459610000000001</v>
      </c>
      <c r="K1493" s="425">
        <v>2303.6431699999998</v>
      </c>
      <c r="L1493" s="542" t="s">
        <v>622</v>
      </c>
    </row>
    <row r="1494" spans="1:12" ht="15">
      <c r="A1494">
        <v>340563</v>
      </c>
      <c r="B1494" t="e">
        <f t="shared" si="58"/>
        <v>#N/A</v>
      </c>
      <c r="C1494" s="209" t="e">
        <f t="shared" si="59"/>
        <v>#N/A</v>
      </c>
      <c r="D1494" t="s">
        <v>5242</v>
      </c>
      <c r="E1494" t="e">
        <v>#N/A</v>
      </c>
      <c r="F1494" t="e">
        <v>#N/A</v>
      </c>
      <c r="G1494" t="e">
        <v>#N/A</v>
      </c>
      <c r="H1494" s="214">
        <v>507.495</v>
      </c>
      <c r="I1494" s="425" t="e">
        <v>#N/A</v>
      </c>
      <c r="J1494" s="91">
        <v>86.902289999999994</v>
      </c>
      <c r="K1494" s="425">
        <v>6993.3508499999998</v>
      </c>
      <c r="L1494" s="542" t="s">
        <v>621</v>
      </c>
    </row>
    <row r="1495" spans="1:12" ht="15">
      <c r="A1495">
        <v>340564</v>
      </c>
      <c r="B1495" t="e">
        <f t="shared" si="58"/>
        <v>#N/A</v>
      </c>
      <c r="C1495" s="209" t="e">
        <f t="shared" si="59"/>
        <v>#N/A</v>
      </c>
      <c r="D1495" t="s">
        <v>5243</v>
      </c>
      <c r="E1495" t="e">
        <v>#N/A</v>
      </c>
      <c r="F1495" t="e">
        <v>#N/A</v>
      </c>
      <c r="G1495" t="e">
        <v>#N/A</v>
      </c>
      <c r="H1495" s="214">
        <v>520.93907999999999</v>
      </c>
      <c r="I1495" s="425" t="e">
        <v>#N/A</v>
      </c>
      <c r="J1495" s="91">
        <v>89.204430000000002</v>
      </c>
      <c r="K1495" s="425">
        <v>7178.6123200000002</v>
      </c>
      <c r="L1495" s="542" t="s">
        <v>621</v>
      </c>
    </row>
    <row r="1496" spans="1:12" ht="15">
      <c r="A1496">
        <v>340565</v>
      </c>
      <c r="B1496" t="e">
        <f t="shared" si="58"/>
        <v>#N/A</v>
      </c>
      <c r="C1496" s="209" t="e">
        <f t="shared" si="59"/>
        <v>#N/A</v>
      </c>
      <c r="D1496" t="s">
        <v>5244</v>
      </c>
      <c r="E1496" t="e">
        <v>#N/A</v>
      </c>
      <c r="F1496" t="e">
        <v>#N/A</v>
      </c>
      <c r="G1496" t="e">
        <v>#N/A</v>
      </c>
      <c r="H1496" s="214">
        <v>520.93907999999999</v>
      </c>
      <c r="I1496" s="425" t="e">
        <v>#N/A</v>
      </c>
      <c r="J1496" s="91">
        <v>89.204430000000002</v>
      </c>
      <c r="K1496" s="425">
        <v>7178.6123200000002</v>
      </c>
      <c r="L1496" s="542" t="s">
        <v>621</v>
      </c>
    </row>
    <row r="1497" spans="1:12" ht="15">
      <c r="A1497">
        <v>318841</v>
      </c>
      <c r="B1497" t="e">
        <f t="shared" si="58"/>
        <v>#N/A</v>
      </c>
      <c r="C1497" s="209">
        <f t="shared" si="59"/>
        <v>14.47241</v>
      </c>
      <c r="D1497" t="s">
        <v>5245</v>
      </c>
      <c r="E1497" t="e">
        <v>#N/A</v>
      </c>
      <c r="F1497" t="e">
        <v>#N/A</v>
      </c>
      <c r="G1497" t="e">
        <v>#N/A</v>
      </c>
      <c r="H1497" s="214">
        <v>0</v>
      </c>
      <c r="I1497" s="425">
        <v>14.47241</v>
      </c>
      <c r="J1497" s="91">
        <v>0</v>
      </c>
      <c r="K1497" s="425">
        <v>4889.2752499999997</v>
      </c>
      <c r="L1497" s="542" t="s">
        <v>624</v>
      </c>
    </row>
    <row r="1498" spans="1:12" ht="15">
      <c r="A1498">
        <v>358263</v>
      </c>
      <c r="B1498" t="str">
        <f t="shared" si="58"/>
        <v/>
      </c>
      <c r="C1498" s="209">
        <f t="shared" si="59"/>
        <v>23.563970000000001</v>
      </c>
      <c r="D1498" t="s">
        <v>5246</v>
      </c>
      <c r="E1498" t="s">
        <v>6384</v>
      </c>
      <c r="F1498" t="s">
        <v>84</v>
      </c>
      <c r="G1498" t="s">
        <v>7548</v>
      </c>
      <c r="H1498" s="214">
        <v>0</v>
      </c>
      <c r="I1498" s="425">
        <v>23.563970000000001</v>
      </c>
      <c r="J1498" s="91">
        <v>0</v>
      </c>
      <c r="K1498" s="425">
        <v>0</v>
      </c>
      <c r="L1498" s="542" t="s">
        <v>623</v>
      </c>
    </row>
    <row r="1499" spans="1:12" ht="15">
      <c r="A1499">
        <v>358311</v>
      </c>
      <c r="B1499" t="str">
        <f t="shared" si="58"/>
        <v>Sevroll Single horné vedenie 3m RAL9003 lesk</v>
      </c>
      <c r="C1499" s="209" t="e">
        <f t="shared" si="59"/>
        <v>#N/A</v>
      </c>
      <c r="D1499" t="s">
        <v>5247</v>
      </c>
      <c r="E1499" t="s">
        <v>6385</v>
      </c>
      <c r="F1499" t="s">
        <v>7000</v>
      </c>
      <c r="G1499" t="s">
        <v>7549</v>
      </c>
      <c r="H1499" s="214">
        <v>0</v>
      </c>
      <c r="I1499" s="425" t="e">
        <v>#N/A</v>
      </c>
      <c r="J1499" s="91">
        <v>0</v>
      </c>
      <c r="K1499" s="425">
        <v>0</v>
      </c>
      <c r="L1499" s="542" t="s">
        <v>622</v>
      </c>
    </row>
    <row r="1500" spans="1:12" ht="15">
      <c r="A1500">
        <v>358312</v>
      </c>
      <c r="B1500" t="str">
        <f t="shared" si="58"/>
        <v>Sevroll Single horné vedenie 1,7m RAL9003 lesk</v>
      </c>
      <c r="C1500" s="209" t="e">
        <f t="shared" si="59"/>
        <v>#N/A</v>
      </c>
      <c r="D1500" t="s">
        <v>5248</v>
      </c>
      <c r="E1500" t="s">
        <v>6386</v>
      </c>
      <c r="F1500" t="s">
        <v>7001</v>
      </c>
      <c r="G1500" t="s">
        <v>7550</v>
      </c>
      <c r="H1500" s="214">
        <v>0</v>
      </c>
      <c r="I1500" s="425" t="e">
        <v>#N/A</v>
      </c>
      <c r="J1500" s="91">
        <v>0</v>
      </c>
      <c r="K1500" s="425">
        <v>0</v>
      </c>
      <c r="L1500" s="542" t="s">
        <v>622</v>
      </c>
    </row>
    <row r="1501" spans="1:12" ht="15">
      <c r="A1501">
        <v>358316</v>
      </c>
      <c r="B1501" t="str">
        <f t="shared" ref="B1501:B1516" si="60">IF($A$2=1,D1501,IF($A$2=2,F1501,IF($A$2=3,G1501,IF($A$2=4,E1501,"zadat jazyk"))))</f>
        <v>Sevroll koncovka k lište Hide N RAL9003 lesk</v>
      </c>
      <c r="C1501" s="209" t="e">
        <f t="shared" ref="C1501:C1516" si="61">IF($A$2=1,H1501,IF($A$2=2,I1501,IF($A$2=3,J1501,IF($A$2=4,K1501,"zadat jazyk"))))</f>
        <v>#N/A</v>
      </c>
      <c r="D1501" t="s">
        <v>5249</v>
      </c>
      <c r="E1501" t="s">
        <v>6387</v>
      </c>
      <c r="F1501" t="s">
        <v>7002</v>
      </c>
      <c r="G1501" t="s">
        <v>7551</v>
      </c>
      <c r="H1501" s="214">
        <v>0</v>
      </c>
      <c r="I1501" s="425" t="e">
        <v>#N/A</v>
      </c>
      <c r="J1501" s="91">
        <v>0</v>
      </c>
      <c r="K1501" s="425">
        <v>0</v>
      </c>
      <c r="L1501" s="542" t="s">
        <v>622</v>
      </c>
    </row>
    <row r="1502" spans="1:12" ht="15">
      <c r="A1502">
        <v>285421</v>
      </c>
      <c r="B1502" t="str">
        <f t="shared" si="60"/>
        <v/>
      </c>
      <c r="C1502" s="209" t="e">
        <f t="shared" si="61"/>
        <v>#N/A</v>
      </c>
      <c r="D1502" t="s">
        <v>5250</v>
      </c>
      <c r="E1502" t="s">
        <v>6388</v>
      </c>
      <c r="F1502" t="s">
        <v>84</v>
      </c>
      <c r="G1502" t="s">
        <v>7552</v>
      </c>
      <c r="H1502" s="214">
        <v>0</v>
      </c>
      <c r="I1502" s="425" t="e">
        <v>#N/A</v>
      </c>
      <c r="J1502" s="91">
        <v>0</v>
      </c>
      <c r="K1502" s="425">
        <v>0</v>
      </c>
      <c r="L1502" s="542" t="s">
        <v>622</v>
      </c>
    </row>
    <row r="1503" spans="1:12" ht="15">
      <c r="A1503">
        <v>285551</v>
      </c>
      <c r="B1503" t="e">
        <f t="shared" si="60"/>
        <v>#N/A</v>
      </c>
      <c r="C1503" s="209" t="e">
        <f t="shared" si="61"/>
        <v>#N/A</v>
      </c>
      <c r="D1503" t="s">
        <v>5251</v>
      </c>
      <c r="E1503" t="e">
        <v>#N/A</v>
      </c>
      <c r="F1503" t="e">
        <v>#N/A</v>
      </c>
      <c r="G1503" t="e">
        <v>#N/A</v>
      </c>
      <c r="H1503" s="214">
        <v>15601.4712</v>
      </c>
      <c r="I1503" s="425" t="e">
        <v>#N/A</v>
      </c>
      <c r="J1503" s="91">
        <v>1591.43815</v>
      </c>
      <c r="K1503" s="425">
        <v>0</v>
      </c>
      <c r="L1503" s="542" t="s">
        <v>622</v>
      </c>
    </row>
    <row r="1504" spans="1:12" ht="15">
      <c r="A1504">
        <v>285552</v>
      </c>
      <c r="B1504" t="e">
        <f t="shared" si="60"/>
        <v>#N/A</v>
      </c>
      <c r="C1504" s="209" t="e">
        <f t="shared" si="61"/>
        <v>#N/A</v>
      </c>
      <c r="D1504" t="s">
        <v>5252</v>
      </c>
      <c r="E1504" t="e">
        <v>#N/A</v>
      </c>
      <c r="F1504" t="e">
        <v>#N/A</v>
      </c>
      <c r="G1504" t="e">
        <v>#N/A</v>
      </c>
      <c r="H1504" s="214">
        <v>12660.084419999999</v>
      </c>
      <c r="I1504" s="425" t="e">
        <v>#N/A</v>
      </c>
      <c r="J1504" s="91">
        <v>1291.4000900000001</v>
      </c>
      <c r="K1504" s="425">
        <v>0</v>
      </c>
      <c r="L1504" s="542" t="s">
        <v>622</v>
      </c>
    </row>
    <row r="1505" spans="1:12" ht="15">
      <c r="A1505">
        <v>388453</v>
      </c>
      <c r="B1505" t="e">
        <f t="shared" si="60"/>
        <v>#N/A</v>
      </c>
      <c r="C1505" s="209" t="e">
        <f t="shared" si="61"/>
        <v>#N/A</v>
      </c>
      <c r="D1505" t="s">
        <v>5253</v>
      </c>
      <c r="E1505" t="e">
        <v>#N/A</v>
      </c>
      <c r="F1505" t="e">
        <v>#N/A</v>
      </c>
      <c r="G1505" t="e">
        <v>#N/A</v>
      </c>
      <c r="H1505" s="214">
        <v>640.07624999999996</v>
      </c>
      <c r="I1505" s="425" t="e">
        <v>#N/A</v>
      </c>
      <c r="J1505" s="91">
        <v>143.15833000000001</v>
      </c>
      <c r="K1505" s="425">
        <v>11096.30323</v>
      </c>
      <c r="L1505" s="542" t="s">
        <v>622</v>
      </c>
    </row>
    <row r="1506" spans="1:12" ht="15">
      <c r="A1506">
        <v>388455</v>
      </c>
      <c r="B1506" t="e">
        <f t="shared" si="60"/>
        <v>#N/A</v>
      </c>
      <c r="C1506" s="209" t="e">
        <f t="shared" si="61"/>
        <v>#N/A</v>
      </c>
      <c r="D1506" t="s">
        <v>5254</v>
      </c>
      <c r="E1506" t="e">
        <v>#N/A</v>
      </c>
      <c r="F1506" t="e">
        <v>#N/A</v>
      </c>
      <c r="G1506" t="e">
        <v>#N/A</v>
      </c>
      <c r="H1506" s="214">
        <v>640.07624999999996</v>
      </c>
      <c r="I1506" s="425" t="e">
        <v>#N/A</v>
      </c>
      <c r="J1506" s="91">
        <v>143.15833000000001</v>
      </c>
      <c r="K1506" s="425">
        <v>11096.30323</v>
      </c>
      <c r="L1506" s="542" t="s">
        <v>622</v>
      </c>
    </row>
    <row r="1507" spans="1:12" ht="15">
      <c r="A1507">
        <v>388462</v>
      </c>
      <c r="B1507" t="str">
        <f t="shared" si="60"/>
        <v/>
      </c>
      <c r="C1507" s="209">
        <f t="shared" si="61"/>
        <v>10.12368</v>
      </c>
      <c r="D1507" t="s">
        <v>5255</v>
      </c>
      <c r="E1507" t="s">
        <v>6389</v>
      </c>
      <c r="F1507" t="s">
        <v>84</v>
      </c>
      <c r="G1507" t="s">
        <v>84</v>
      </c>
      <c r="H1507" s="214">
        <v>291.78879999999998</v>
      </c>
      <c r="I1507" s="425">
        <v>10.12368</v>
      </c>
      <c r="J1507" s="91">
        <v>34.479999999999997</v>
      </c>
      <c r="K1507" s="425">
        <v>3306.04972</v>
      </c>
      <c r="L1507" s="542" t="s">
        <v>622</v>
      </c>
    </row>
    <row r="1508" spans="1:12" ht="15">
      <c r="A1508">
        <v>388537</v>
      </c>
      <c r="B1508" t="e">
        <f t="shared" si="60"/>
        <v>#N/A</v>
      </c>
      <c r="C1508" s="209" t="e">
        <f t="shared" si="61"/>
        <v>#N/A</v>
      </c>
      <c r="D1508" t="s">
        <v>5256</v>
      </c>
      <c r="E1508" t="e">
        <v>#N/A</v>
      </c>
      <c r="F1508" t="e">
        <v>#N/A</v>
      </c>
      <c r="G1508" t="e">
        <v>#N/A</v>
      </c>
      <c r="H1508" s="214">
        <v>2295.4524700000002</v>
      </c>
      <c r="I1508" s="425" t="e">
        <v>#N/A</v>
      </c>
      <c r="J1508" s="91">
        <v>286.70141000000001</v>
      </c>
      <c r="K1508" s="425">
        <v>23037.84</v>
      </c>
      <c r="L1508" s="542" t="s">
        <v>621</v>
      </c>
    </row>
    <row r="1509" spans="1:12" ht="15">
      <c r="A1509">
        <v>388538</v>
      </c>
      <c r="B1509" t="e">
        <f t="shared" si="60"/>
        <v>#N/A</v>
      </c>
      <c r="C1509" s="209" t="e">
        <f t="shared" si="61"/>
        <v>#N/A</v>
      </c>
      <c r="D1509" t="s">
        <v>5257</v>
      </c>
      <c r="E1509" t="e">
        <v>#N/A</v>
      </c>
      <c r="F1509" t="e">
        <v>#N/A</v>
      </c>
      <c r="G1509" t="e">
        <v>#N/A</v>
      </c>
      <c r="H1509" s="214">
        <v>3256.2446300000001</v>
      </c>
      <c r="I1509" s="425" t="e">
        <v>#N/A</v>
      </c>
      <c r="J1509" s="91">
        <v>406.70407999999998</v>
      </c>
      <c r="K1509" s="425">
        <v>32680.63422</v>
      </c>
      <c r="L1509" s="542" t="s">
        <v>621</v>
      </c>
    </row>
    <row r="1510" spans="1:12" ht="15">
      <c r="A1510">
        <v>388539</v>
      </c>
      <c r="B1510" t="e">
        <f t="shared" si="60"/>
        <v>#N/A</v>
      </c>
      <c r="C1510" s="209" t="e">
        <f t="shared" si="61"/>
        <v>#N/A</v>
      </c>
      <c r="D1510" t="s">
        <v>5258</v>
      </c>
      <c r="E1510" t="e">
        <v>#N/A</v>
      </c>
      <c r="F1510" t="e">
        <v>#N/A</v>
      </c>
      <c r="G1510" t="e">
        <v>#N/A</v>
      </c>
      <c r="H1510" s="214">
        <v>425.49950000000001</v>
      </c>
      <c r="I1510" s="425" t="e">
        <v>#N/A</v>
      </c>
      <c r="J1510" s="91">
        <v>52.609499999999997</v>
      </c>
      <c r="K1510" s="425">
        <v>4262.3046599999998</v>
      </c>
      <c r="L1510" s="542" t="s">
        <v>621</v>
      </c>
    </row>
    <row r="1511" spans="1:12" ht="15">
      <c r="A1511">
        <v>388540</v>
      </c>
      <c r="B1511" t="e">
        <f t="shared" si="60"/>
        <v>#N/A</v>
      </c>
      <c r="C1511" s="209" t="e">
        <f t="shared" si="61"/>
        <v>#N/A</v>
      </c>
      <c r="D1511" t="s">
        <v>5259</v>
      </c>
      <c r="E1511" t="e">
        <v>#N/A</v>
      </c>
      <c r="F1511" t="e">
        <v>#N/A</v>
      </c>
      <c r="G1511" t="e">
        <v>#N/A</v>
      </c>
      <c r="H1511" s="214">
        <v>638.75945000000002</v>
      </c>
      <c r="I1511" s="425" t="e">
        <v>#N/A</v>
      </c>
      <c r="J1511" s="91">
        <v>78.977329999999995</v>
      </c>
      <c r="K1511" s="425">
        <v>6398.5676199999998</v>
      </c>
      <c r="L1511" s="542" t="s">
        <v>621</v>
      </c>
    </row>
    <row r="1512" spans="1:12" ht="15">
      <c r="A1512">
        <v>388541</v>
      </c>
      <c r="B1512" t="e">
        <f t="shared" si="60"/>
        <v>#N/A</v>
      </c>
      <c r="C1512" s="209" t="e">
        <f t="shared" si="61"/>
        <v>#N/A</v>
      </c>
      <c r="D1512" t="s">
        <v>5260</v>
      </c>
      <c r="E1512" t="e">
        <v>#N/A</v>
      </c>
      <c r="F1512" t="e">
        <v>#N/A</v>
      </c>
      <c r="G1512" t="e">
        <v>#N/A</v>
      </c>
      <c r="H1512" s="214">
        <v>850.99901</v>
      </c>
      <c r="I1512" s="425" t="e">
        <v>#N/A</v>
      </c>
      <c r="J1512" s="91">
        <v>105.21899999999999</v>
      </c>
      <c r="K1512" s="425">
        <v>8524.6093199999996</v>
      </c>
      <c r="L1512" s="542" t="s">
        <v>621</v>
      </c>
    </row>
    <row r="1513" spans="1:12" ht="15">
      <c r="A1513">
        <v>388542</v>
      </c>
      <c r="B1513" t="e">
        <f t="shared" si="60"/>
        <v>#N/A</v>
      </c>
      <c r="C1513" s="209" t="e">
        <f t="shared" si="61"/>
        <v>#N/A</v>
      </c>
      <c r="D1513" t="s">
        <v>5261</v>
      </c>
      <c r="E1513" t="e">
        <v>#N/A</v>
      </c>
      <c r="F1513" t="e">
        <v>#N/A</v>
      </c>
      <c r="G1513" t="e">
        <v>#N/A</v>
      </c>
      <c r="H1513" s="214">
        <v>520.39508000000001</v>
      </c>
      <c r="I1513" s="425" t="e">
        <v>#N/A</v>
      </c>
      <c r="J1513" s="91">
        <v>64.342569999999995</v>
      </c>
      <c r="K1513" s="425">
        <v>5212.8905999999997</v>
      </c>
      <c r="L1513" s="542" t="s">
        <v>621</v>
      </c>
    </row>
    <row r="1514" spans="1:12" ht="15">
      <c r="A1514">
        <v>388543</v>
      </c>
      <c r="B1514" t="e">
        <f t="shared" si="60"/>
        <v>#N/A</v>
      </c>
      <c r="C1514" s="209" t="e">
        <f t="shared" si="61"/>
        <v>#N/A</v>
      </c>
      <c r="D1514" t="s">
        <v>5262</v>
      </c>
      <c r="E1514" t="e">
        <v>#N/A</v>
      </c>
      <c r="F1514" t="e">
        <v>#N/A</v>
      </c>
      <c r="G1514" t="e">
        <v>#N/A</v>
      </c>
      <c r="H1514" s="214">
        <v>779.57222999999999</v>
      </c>
      <c r="I1514" s="425" t="e">
        <v>#N/A</v>
      </c>
      <c r="J1514" s="91">
        <v>96.387659999999997</v>
      </c>
      <c r="K1514" s="425">
        <v>7809.1144599999998</v>
      </c>
      <c r="L1514" s="542" t="s">
        <v>621</v>
      </c>
    </row>
    <row r="1515" spans="1:12" ht="15">
      <c r="A1515">
        <v>388544</v>
      </c>
      <c r="B1515" t="e">
        <f t="shared" si="60"/>
        <v>#N/A</v>
      </c>
      <c r="C1515" s="209" t="e">
        <f t="shared" si="61"/>
        <v>#N/A</v>
      </c>
      <c r="D1515" t="s">
        <v>5263</v>
      </c>
      <c r="E1515" t="e">
        <v>#N/A</v>
      </c>
      <c r="F1515" t="e">
        <v>#N/A</v>
      </c>
      <c r="G1515" t="e">
        <v>#N/A</v>
      </c>
      <c r="H1515" s="214">
        <v>1040.79015</v>
      </c>
      <c r="I1515" s="425" t="e">
        <v>#N/A</v>
      </c>
      <c r="J1515" s="91">
        <v>128.68511000000001</v>
      </c>
      <c r="K1515" s="425">
        <v>10425.781199999999</v>
      </c>
      <c r="L1515" s="542" t="s">
        <v>621</v>
      </c>
    </row>
    <row r="1516" spans="1:12" ht="15">
      <c r="A1516">
        <v>388545</v>
      </c>
      <c r="B1516" t="e">
        <f t="shared" si="60"/>
        <v>#N/A</v>
      </c>
      <c r="C1516" s="209" t="e">
        <f t="shared" si="61"/>
        <v>#N/A</v>
      </c>
      <c r="D1516" t="s">
        <v>5264</v>
      </c>
      <c r="E1516" t="e">
        <v>#N/A</v>
      </c>
      <c r="F1516" t="e">
        <v>#N/A</v>
      </c>
      <c r="G1516" t="e">
        <v>#N/A</v>
      </c>
      <c r="H1516" s="214">
        <v>388.76573000000002</v>
      </c>
      <c r="I1516" s="425" t="e">
        <v>#N/A</v>
      </c>
      <c r="J1516" s="91">
        <v>48.06767</v>
      </c>
      <c r="K1516" s="425">
        <v>3894.3357999999998</v>
      </c>
      <c r="L1516" s="542" t="s">
        <v>621</v>
      </c>
    </row>
    <row r="1517" spans="1:12" ht="15">
      <c r="A1517">
        <v>388635</v>
      </c>
      <c r="B1517" t="e">
        <f t="shared" ref="B1517:B1538" si="62">IF($A$2=1,D1517,IF($A$2=2,F1517,IF($A$2=3,G1517,IF($A$2=4,E1517,"zadat jazyk"))))</f>
        <v>#N/A</v>
      </c>
      <c r="C1517" s="209" t="e">
        <f t="shared" ref="C1517:C1538" si="63">IF($A$2=1,H1517,IF($A$2=2,I1517,IF($A$2=3,J1517,IF($A$2=4,K1517,"zadat jazyk"))))</f>
        <v>#N/A</v>
      </c>
      <c r="D1517" t="s">
        <v>5265</v>
      </c>
      <c r="E1517" t="e">
        <v>#N/A</v>
      </c>
      <c r="F1517" t="e">
        <v>#N/A</v>
      </c>
      <c r="G1517" t="e">
        <v>#N/A</v>
      </c>
      <c r="H1517" s="214">
        <v>5.4</v>
      </c>
      <c r="I1517" s="425" t="e">
        <v>#N/A</v>
      </c>
      <c r="J1517" s="91">
        <v>0.92469000000000001</v>
      </c>
      <c r="K1517" s="425">
        <v>67.647980000000004</v>
      </c>
      <c r="L1517" s="542" t="s">
        <v>622</v>
      </c>
    </row>
    <row r="1518" spans="1:12" ht="15">
      <c r="A1518">
        <v>317451</v>
      </c>
      <c r="B1518" t="e">
        <f t="shared" si="62"/>
        <v>#N/A</v>
      </c>
      <c r="C1518" s="209" t="e">
        <f t="shared" si="63"/>
        <v>#N/A</v>
      </c>
      <c r="D1518" t="s">
        <v>5266</v>
      </c>
      <c r="E1518" t="e">
        <v>#N/A</v>
      </c>
      <c r="F1518" t="e">
        <v>#N/A</v>
      </c>
      <c r="G1518" t="e">
        <v>#N/A</v>
      </c>
      <c r="H1518" s="214">
        <v>888.35242000000005</v>
      </c>
      <c r="I1518" s="425" t="e">
        <v>#N/A</v>
      </c>
      <c r="J1518" s="91">
        <v>103.75440999999999</v>
      </c>
      <c r="K1518" s="425">
        <v>0</v>
      </c>
      <c r="L1518" s="542" t="s">
        <v>622</v>
      </c>
    </row>
    <row r="1519" spans="1:12" ht="15">
      <c r="A1519">
        <v>317904</v>
      </c>
      <c r="B1519" t="e">
        <f t="shared" si="62"/>
        <v>#N/A</v>
      </c>
      <c r="C1519" s="209" t="e">
        <f t="shared" si="63"/>
        <v>#N/A</v>
      </c>
      <c r="D1519" t="s">
        <v>5267</v>
      </c>
      <c r="E1519" t="e">
        <v>#N/A</v>
      </c>
      <c r="F1519" t="e">
        <v>#N/A</v>
      </c>
      <c r="G1519" t="e">
        <v>#N/A</v>
      </c>
      <c r="H1519" s="214">
        <v>20.829689999999999</v>
      </c>
      <c r="I1519" s="425" t="e">
        <v>#N/A</v>
      </c>
      <c r="J1519" s="91">
        <v>3.8901699999999999</v>
      </c>
      <c r="K1519" s="425">
        <v>313.69475</v>
      </c>
      <c r="L1519" s="542" t="s">
        <v>622</v>
      </c>
    </row>
    <row r="1520" spans="1:12" ht="15">
      <c r="A1520">
        <v>317938</v>
      </c>
      <c r="B1520" t="e">
        <f t="shared" si="62"/>
        <v>#N/A</v>
      </c>
      <c r="C1520" s="209" t="e">
        <f t="shared" si="63"/>
        <v>#N/A</v>
      </c>
      <c r="D1520" t="s">
        <v>5268</v>
      </c>
      <c r="E1520" t="e">
        <v>#N/A</v>
      </c>
      <c r="F1520" t="e">
        <v>#N/A</v>
      </c>
      <c r="G1520" t="e">
        <v>#N/A</v>
      </c>
      <c r="H1520" s="214">
        <v>220.79664</v>
      </c>
      <c r="I1520" s="425" t="e">
        <v>#N/A</v>
      </c>
      <c r="J1520" s="91">
        <v>41.236280000000001</v>
      </c>
      <c r="K1520" s="425">
        <v>3325.1643600000002</v>
      </c>
      <c r="L1520" s="542" t="s">
        <v>622</v>
      </c>
    </row>
    <row r="1521" spans="1:12" ht="15">
      <c r="A1521">
        <v>317940</v>
      </c>
      <c r="B1521" t="e">
        <f t="shared" si="62"/>
        <v>#N/A</v>
      </c>
      <c r="C1521" s="209" t="e">
        <f t="shared" si="63"/>
        <v>#N/A</v>
      </c>
      <c r="D1521" t="s">
        <v>5269</v>
      </c>
      <c r="E1521" t="e">
        <v>#N/A</v>
      </c>
      <c r="F1521" t="e">
        <v>#N/A</v>
      </c>
      <c r="G1521" t="e">
        <v>#N/A</v>
      </c>
      <c r="H1521" s="214">
        <v>137.52354</v>
      </c>
      <c r="I1521" s="425" t="e">
        <v>#N/A</v>
      </c>
      <c r="J1521" s="91">
        <v>25.682739999999999</v>
      </c>
      <c r="K1521" s="425">
        <v>2008.30432</v>
      </c>
      <c r="L1521" s="542" t="s">
        <v>622</v>
      </c>
    </row>
    <row r="1522" spans="1:12" ht="15">
      <c r="A1522">
        <v>409670</v>
      </c>
      <c r="B1522" t="str">
        <f t="shared" si="62"/>
        <v>SEVROLL Gemini horné vedenie 2,35 čierna mat</v>
      </c>
      <c r="C1522" s="209">
        <f t="shared" si="63"/>
        <v>29.503299999999999</v>
      </c>
      <c r="D1522" t="s">
        <v>5270</v>
      </c>
      <c r="E1522" t="s">
        <v>6390</v>
      </c>
      <c r="F1522" t="s">
        <v>7003</v>
      </c>
      <c r="G1522" t="s">
        <v>7553</v>
      </c>
      <c r="H1522" s="214">
        <v>757.22752000000003</v>
      </c>
      <c r="I1522" s="425">
        <v>29.503299999999999</v>
      </c>
      <c r="J1522" s="91">
        <v>105.78</v>
      </c>
      <c r="K1522" s="425">
        <v>8579.6022099999991</v>
      </c>
      <c r="L1522" s="542" t="s">
        <v>621</v>
      </c>
    </row>
    <row r="1523" spans="1:12" ht="15">
      <c r="A1523">
        <v>409674</v>
      </c>
      <c r="B1523" t="str">
        <f t="shared" si="62"/>
        <v>SEVROLL Gemini horné vedenie 4,05m čierna mat</v>
      </c>
      <c r="C1523" s="209">
        <f t="shared" si="63"/>
        <v>50.787129999999998</v>
      </c>
      <c r="D1523" t="s">
        <v>5271</v>
      </c>
      <c r="E1523" t="s">
        <v>6391</v>
      </c>
      <c r="F1523" t="s">
        <v>7004</v>
      </c>
      <c r="G1523" t="s">
        <v>7554</v>
      </c>
      <c r="H1523" s="214">
        <v>1303.7977599999999</v>
      </c>
      <c r="I1523" s="425">
        <v>50.787129999999998</v>
      </c>
      <c r="J1523" s="91">
        <v>182.35</v>
      </c>
      <c r="K1523" s="425">
        <v>14772.397790000001</v>
      </c>
      <c r="L1523" s="542" t="s">
        <v>621</v>
      </c>
    </row>
    <row r="1524" spans="1:12" ht="15">
      <c r="A1524">
        <v>409676</v>
      </c>
      <c r="B1524" t="str">
        <f t="shared" si="62"/>
        <v>SEVROLL Elegant spod.ved.4,05m čierna mat</v>
      </c>
      <c r="C1524" s="209">
        <f t="shared" si="63"/>
        <v>28.008849999999999</v>
      </c>
      <c r="D1524" t="s">
        <v>5272</v>
      </c>
      <c r="E1524" t="s">
        <v>6392</v>
      </c>
      <c r="F1524" t="s">
        <v>7005</v>
      </c>
      <c r="G1524" t="s">
        <v>7555</v>
      </c>
      <c r="H1524" s="214">
        <v>751.53408000000002</v>
      </c>
      <c r="I1524" s="425">
        <v>28.008849999999999</v>
      </c>
      <c r="J1524" s="91">
        <v>99.34</v>
      </c>
      <c r="K1524" s="425">
        <v>8515.0939199999993</v>
      </c>
      <c r="L1524" s="542" t="s">
        <v>621</v>
      </c>
    </row>
    <row r="1525" spans="1:12" ht="15">
      <c r="A1525">
        <v>409678</v>
      </c>
      <c r="B1525" t="str">
        <f t="shared" si="62"/>
        <v>SEVROLL Elegant spod.ved. 2,35m čierna mat</v>
      </c>
      <c r="C1525" s="209">
        <f t="shared" si="63"/>
        <v>16.270199999999999</v>
      </c>
      <c r="D1525" t="s">
        <v>5273</v>
      </c>
      <c r="E1525" t="s">
        <v>6393</v>
      </c>
      <c r="F1525" t="s">
        <v>7006</v>
      </c>
      <c r="G1525" t="s">
        <v>7556</v>
      </c>
      <c r="H1525" s="214">
        <v>436.97152</v>
      </c>
      <c r="I1525" s="425">
        <v>16.270199999999999</v>
      </c>
      <c r="J1525" s="91">
        <v>57.64</v>
      </c>
      <c r="K1525" s="425">
        <v>4951.0110500000001</v>
      </c>
      <c r="L1525" s="542" t="s">
        <v>621</v>
      </c>
    </row>
    <row r="1526" spans="1:12" ht="15">
      <c r="A1526">
        <v>409679</v>
      </c>
      <c r="B1526" t="str">
        <f t="shared" si="62"/>
        <v>SEVROLL maska Elegant II 2,35m čierna mat</v>
      </c>
      <c r="C1526" s="209">
        <f t="shared" si="63"/>
        <v>5.2305700000000002</v>
      </c>
      <c r="D1526" t="s">
        <v>5274</v>
      </c>
      <c r="E1526" t="s">
        <v>6394</v>
      </c>
      <c r="F1526" t="s">
        <v>7007</v>
      </c>
      <c r="G1526" t="s">
        <v>7557</v>
      </c>
      <c r="H1526" s="214">
        <v>145.18271999999999</v>
      </c>
      <c r="I1526" s="425">
        <v>5.2305700000000002</v>
      </c>
      <c r="J1526" s="91">
        <v>17.3</v>
      </c>
      <c r="K1526" s="425">
        <v>1644.9613300000001</v>
      </c>
      <c r="L1526" s="542" t="s">
        <v>621</v>
      </c>
    </row>
    <row r="1527" spans="1:12" ht="15">
      <c r="A1527">
        <v>409680</v>
      </c>
      <c r="B1527" t="str">
        <f t="shared" si="62"/>
        <v>SEVROLL maska Elegant II 4,05m čierna mat</v>
      </c>
      <c r="C1527" s="209">
        <f t="shared" si="63"/>
        <v>8.9907900000000005</v>
      </c>
      <c r="D1527" t="s">
        <v>5275</v>
      </c>
      <c r="E1527" t="s">
        <v>6395</v>
      </c>
      <c r="F1527" t="s">
        <v>7008</v>
      </c>
      <c r="G1527" t="s">
        <v>7558</v>
      </c>
      <c r="H1527" s="214">
        <v>249.08799999999999</v>
      </c>
      <c r="I1527" s="425">
        <v>8.9907900000000005</v>
      </c>
      <c r="J1527" s="91">
        <v>29.79</v>
      </c>
      <c r="K1527" s="425">
        <v>2822.2375699999998</v>
      </c>
      <c r="L1527" s="542" t="s">
        <v>621</v>
      </c>
    </row>
    <row r="1528" spans="1:12" ht="15">
      <c r="A1528">
        <v>409682</v>
      </c>
      <c r="B1528" t="str">
        <f t="shared" si="62"/>
        <v>SEVROLL uholník 17x11mm 2,35m čierna mat</v>
      </c>
      <c r="C1528" s="209">
        <f t="shared" si="63"/>
        <v>5.1100500000000002</v>
      </c>
      <c r="D1528" t="s">
        <v>5276</v>
      </c>
      <c r="E1528" t="s">
        <v>6396</v>
      </c>
      <c r="F1528" t="s">
        <v>7009</v>
      </c>
      <c r="G1528" t="s">
        <v>7559</v>
      </c>
      <c r="H1528" s="214">
        <v>134.50752</v>
      </c>
      <c r="I1528" s="425">
        <v>5.1100500000000002</v>
      </c>
      <c r="J1528" s="91">
        <v>17.32</v>
      </c>
      <c r="K1528" s="425">
        <v>1524.00828</v>
      </c>
      <c r="L1528" s="542" t="s">
        <v>621</v>
      </c>
    </row>
    <row r="1529" spans="1:12" ht="15">
      <c r="A1529">
        <v>409683</v>
      </c>
      <c r="B1529" t="str">
        <f t="shared" si="62"/>
        <v>SEVROLL spojovacia lišta H18 3m čierna mat</v>
      </c>
      <c r="C1529" s="209">
        <f t="shared" si="63"/>
        <v>18.077999999999999</v>
      </c>
      <c r="D1529" t="s">
        <v>5277</v>
      </c>
      <c r="E1529" t="s">
        <v>6397</v>
      </c>
      <c r="F1529" t="s">
        <v>7010</v>
      </c>
      <c r="G1529" t="s">
        <v>7560</v>
      </c>
      <c r="H1529" s="214">
        <v>485.36576000000002</v>
      </c>
      <c r="I1529" s="425">
        <v>18.077999999999999</v>
      </c>
      <c r="J1529" s="91">
        <v>64.03</v>
      </c>
      <c r="K1529" s="425">
        <v>5499.3314899999996</v>
      </c>
      <c r="L1529" s="542" t="s">
        <v>621</v>
      </c>
    </row>
    <row r="1530" spans="1:12" ht="15">
      <c r="A1530">
        <v>409700</v>
      </c>
      <c r="B1530" t="str">
        <f t="shared" si="62"/>
        <v>SEVROLL doraz.kratáč zásuvný čierny 14x4mm</v>
      </c>
      <c r="C1530" s="209">
        <f t="shared" si="63"/>
        <v>0.41025</v>
      </c>
      <c r="D1530" t="s">
        <v>5278</v>
      </c>
      <c r="E1530" t="s">
        <v>6398</v>
      </c>
      <c r="F1530" t="s">
        <v>7011</v>
      </c>
      <c r="G1530" t="s">
        <v>7561</v>
      </c>
      <c r="H1530" s="214">
        <v>14.09126</v>
      </c>
      <c r="I1530" s="425">
        <v>0.41025</v>
      </c>
      <c r="J1530" s="91">
        <v>1.46</v>
      </c>
      <c r="K1530" s="425">
        <v>124.82353999999999</v>
      </c>
      <c r="L1530" s="542" t="s">
        <v>621</v>
      </c>
    </row>
    <row r="1531" spans="1:12" ht="15">
      <c r="A1531">
        <v>409699</v>
      </c>
      <c r="B1531" t="str">
        <f t="shared" si="62"/>
        <v>SEVROLL dorazový kartáč zásuvný 4,8x4mm čierny</v>
      </c>
      <c r="C1531" s="209">
        <f t="shared" si="63"/>
        <v>0.17066000000000001</v>
      </c>
      <c r="D1531" t="s">
        <v>5279</v>
      </c>
      <c r="E1531" t="s">
        <v>6399</v>
      </c>
      <c r="F1531" t="s">
        <v>7012</v>
      </c>
      <c r="G1531" t="s">
        <v>7562</v>
      </c>
      <c r="H1531" s="214">
        <v>4.5832199999999998</v>
      </c>
      <c r="I1531" s="425">
        <v>0.17066000000000001</v>
      </c>
      <c r="J1531" s="91">
        <v>0.62</v>
      </c>
      <c r="K1531" s="425">
        <v>51.929180000000002</v>
      </c>
      <c r="L1531" s="542" t="s">
        <v>621</v>
      </c>
    </row>
    <row r="1532" spans="1:12" ht="15">
      <c r="A1532">
        <v>410298</v>
      </c>
      <c r="B1532" t="str">
        <f t="shared" si="62"/>
        <v>SEVROLL uholník 17x11mm 1,7m RAL9005 mat</v>
      </c>
      <c r="C1532" s="209" t="e">
        <f t="shared" si="63"/>
        <v>#N/A</v>
      </c>
      <c r="D1532" t="s">
        <v>5280</v>
      </c>
      <c r="E1532" t="s">
        <v>6400</v>
      </c>
      <c r="F1532" t="s">
        <v>7013</v>
      </c>
      <c r="G1532" t="s">
        <v>84</v>
      </c>
      <c r="H1532" s="214">
        <v>0</v>
      </c>
      <c r="I1532" s="425" t="e">
        <v>#N/A</v>
      </c>
      <c r="J1532" s="91">
        <v>0</v>
      </c>
      <c r="K1532" s="425">
        <v>0</v>
      </c>
      <c r="L1532" s="542" t="s">
        <v>622</v>
      </c>
    </row>
    <row r="1533" spans="1:12" ht="15">
      <c r="A1533">
        <v>410301</v>
      </c>
      <c r="B1533" t="str">
        <f t="shared" si="62"/>
        <v/>
      </c>
      <c r="C1533" s="209" t="e">
        <f t="shared" si="63"/>
        <v>#N/A</v>
      </c>
      <c r="D1533" t="s">
        <v>5281</v>
      </c>
      <c r="E1533" t="s">
        <v>6401</v>
      </c>
      <c r="F1533" t="s">
        <v>84</v>
      </c>
      <c r="G1533" t="s">
        <v>84</v>
      </c>
      <c r="H1533" s="214">
        <v>0</v>
      </c>
      <c r="I1533" s="425" t="e">
        <v>#N/A</v>
      </c>
      <c r="J1533" s="91">
        <v>0</v>
      </c>
      <c r="K1533" s="425">
        <v>0</v>
      </c>
      <c r="L1533" s="542" t="s">
        <v>622</v>
      </c>
    </row>
    <row r="1534" spans="1:12" ht="15">
      <c r="A1534">
        <v>410302</v>
      </c>
      <c r="B1534" t="str">
        <f t="shared" si="62"/>
        <v/>
      </c>
      <c r="C1534" s="209" t="e">
        <f t="shared" si="63"/>
        <v>#N/A</v>
      </c>
      <c r="D1534" t="s">
        <v>5282</v>
      </c>
      <c r="E1534" t="s">
        <v>6402</v>
      </c>
      <c r="F1534" t="s">
        <v>84</v>
      </c>
      <c r="G1534" t="s">
        <v>7563</v>
      </c>
      <c r="H1534" s="214">
        <v>0</v>
      </c>
      <c r="I1534" s="425" t="e">
        <v>#N/A</v>
      </c>
      <c r="J1534" s="91">
        <v>0</v>
      </c>
      <c r="K1534" s="425">
        <v>0</v>
      </c>
      <c r="L1534" s="542" t="s">
        <v>622</v>
      </c>
    </row>
    <row r="1535" spans="1:12" ht="15">
      <c r="A1535">
        <v>410303</v>
      </c>
      <c r="B1535" t="str">
        <f t="shared" si="62"/>
        <v/>
      </c>
      <c r="C1535" s="209" t="e">
        <f t="shared" si="63"/>
        <v>#N/A</v>
      </c>
      <c r="D1535" t="s">
        <v>5283</v>
      </c>
      <c r="E1535" t="s">
        <v>6403</v>
      </c>
      <c r="F1535" t="s">
        <v>84</v>
      </c>
      <c r="G1535" t="s">
        <v>7564</v>
      </c>
      <c r="H1535" s="214">
        <v>0</v>
      </c>
      <c r="I1535" s="425" t="e">
        <v>#N/A</v>
      </c>
      <c r="J1535" s="91">
        <v>0</v>
      </c>
      <c r="K1535" s="425">
        <v>0</v>
      </c>
      <c r="L1535" s="542" t="s">
        <v>622</v>
      </c>
    </row>
    <row r="1536" spans="1:12" ht="15">
      <c r="A1536">
        <v>410307</v>
      </c>
      <c r="B1536" t="str">
        <f t="shared" si="62"/>
        <v>SEVROLL Alfa II lišta 18mm 2,70m RAL7016 mat</v>
      </c>
      <c r="C1536" s="209" t="e">
        <f t="shared" si="63"/>
        <v>#N/A</v>
      </c>
      <c r="D1536" t="s">
        <v>5284</v>
      </c>
      <c r="E1536" t="s">
        <v>6404</v>
      </c>
      <c r="F1536" t="s">
        <v>7014</v>
      </c>
      <c r="G1536" t="s">
        <v>7565</v>
      </c>
      <c r="H1536" s="214">
        <v>0</v>
      </c>
      <c r="I1536" s="425" t="e">
        <v>#N/A</v>
      </c>
      <c r="J1536" s="91">
        <v>0</v>
      </c>
      <c r="K1536" s="425">
        <v>0</v>
      </c>
      <c r="L1536" s="542" t="s">
        <v>622</v>
      </c>
    </row>
    <row r="1537" spans="1:12" ht="15">
      <c r="A1537">
        <v>222811</v>
      </c>
      <c r="B1537" t="e">
        <f t="shared" si="62"/>
        <v>#N/A</v>
      </c>
      <c r="C1537" s="209" t="e">
        <f t="shared" si="63"/>
        <v>#N/A</v>
      </c>
      <c r="D1537" t="s">
        <v>5285</v>
      </c>
      <c r="E1537" t="e">
        <v>#N/A</v>
      </c>
      <c r="F1537" t="e">
        <v>#N/A</v>
      </c>
      <c r="G1537" t="e">
        <v>#N/A</v>
      </c>
      <c r="H1537" s="214">
        <v>219.30574999999999</v>
      </c>
      <c r="I1537" s="425" t="e">
        <v>#N/A</v>
      </c>
      <c r="J1537" s="91">
        <v>35.502609999999997</v>
      </c>
      <c r="K1537" s="425">
        <v>2776.1853799999999</v>
      </c>
      <c r="L1537" s="542" t="s">
        <v>622</v>
      </c>
    </row>
    <row r="1538" spans="1:12" ht="15">
      <c r="A1538">
        <v>222922</v>
      </c>
      <c r="B1538" t="str">
        <f t="shared" si="62"/>
        <v>SEVROLL ZR-18 Unicomfort sada pre rozbalovacie dvere</v>
      </c>
      <c r="C1538" s="209">
        <f t="shared" si="63"/>
        <v>34.541029999999999</v>
      </c>
      <c r="D1538" t="s">
        <v>5286</v>
      </c>
      <c r="E1538" t="s">
        <v>6405</v>
      </c>
      <c r="F1538" t="s">
        <v>7015</v>
      </c>
      <c r="G1538" t="s">
        <v>7566</v>
      </c>
      <c r="H1538" s="214">
        <v>994.92863999999997</v>
      </c>
      <c r="I1538" s="425">
        <v>34.541029999999999</v>
      </c>
      <c r="J1538" s="91">
        <v>117.57</v>
      </c>
      <c r="K1538" s="425">
        <v>11272.82321</v>
      </c>
      <c r="L1538" s="542" t="s">
        <v>622</v>
      </c>
    </row>
    <row r="1539" spans="1:12" ht="15">
      <c r="A1539">
        <v>224390</v>
      </c>
      <c r="B1539" t="str">
        <f t="shared" ref="B1539:B1566" si="64">IF($A$2=1,D1539,IF($A$2=2,F1539,IF($A$2=3,G1539,IF($A$2=4,E1539,"zadat jazyk"))))</f>
        <v>Sevroll zakázka Kupka RAL 8016 lesk</v>
      </c>
      <c r="C1539" s="209" t="e">
        <f t="shared" ref="C1539:C1566" si="65">IF($A$2=1,H1539,IF($A$2=2,I1539,IF($A$2=3,J1539,IF($A$2=4,K1539,"zadat jazyk"))))</f>
        <v>#N/A</v>
      </c>
      <c r="D1539" t="s">
        <v>5287</v>
      </c>
      <c r="E1539" t="s">
        <v>6406</v>
      </c>
      <c r="F1539" t="s">
        <v>5287</v>
      </c>
      <c r="G1539" t="s">
        <v>7567</v>
      </c>
      <c r="H1539" s="214">
        <v>0</v>
      </c>
      <c r="I1539" s="425" t="e">
        <v>#N/A</v>
      </c>
      <c r="J1539" s="91">
        <v>0</v>
      </c>
      <c r="K1539" s="425">
        <v>0</v>
      </c>
      <c r="L1539" s="542" t="s">
        <v>622</v>
      </c>
    </row>
    <row r="1540" spans="1:12" ht="15">
      <c r="A1540">
        <v>224524</v>
      </c>
      <c r="B1540" t="e">
        <f t="shared" si="64"/>
        <v>#N/A</v>
      </c>
      <c r="C1540" s="209" t="e">
        <f t="shared" si="65"/>
        <v>#N/A</v>
      </c>
      <c r="D1540" t="s">
        <v>5288</v>
      </c>
      <c r="E1540" t="e">
        <v>#N/A</v>
      </c>
      <c r="F1540" t="e">
        <v>#N/A</v>
      </c>
      <c r="G1540" t="e">
        <v>#N/A</v>
      </c>
      <c r="H1540" s="214">
        <v>136.19264999999999</v>
      </c>
      <c r="I1540" s="425" t="e">
        <v>#N/A</v>
      </c>
      <c r="J1540" s="91">
        <v>30.460619999999999</v>
      </c>
      <c r="K1540" s="425">
        <v>0</v>
      </c>
      <c r="L1540" s="542" t="s">
        <v>622</v>
      </c>
    </row>
    <row r="1541" spans="1:12" ht="15">
      <c r="A1541">
        <v>225130</v>
      </c>
      <c r="B1541" t="e">
        <f t="shared" si="64"/>
        <v>#N/A</v>
      </c>
      <c r="C1541" s="209" t="e">
        <f t="shared" si="65"/>
        <v>#N/A</v>
      </c>
      <c r="D1541" t="s">
        <v>5289</v>
      </c>
      <c r="E1541" t="e">
        <v>#N/A</v>
      </c>
      <c r="F1541" t="e">
        <v>#N/A</v>
      </c>
      <c r="G1541" t="e">
        <v>#N/A</v>
      </c>
      <c r="H1541" s="214">
        <v>353.5</v>
      </c>
      <c r="I1541" s="425" t="e">
        <v>#N/A</v>
      </c>
      <c r="J1541" s="91">
        <v>79.702730000000003</v>
      </c>
      <c r="K1541" s="425">
        <v>6793.8208000000004</v>
      </c>
      <c r="L1541" s="542" t="s">
        <v>622</v>
      </c>
    </row>
    <row r="1542" spans="1:12" ht="15">
      <c r="A1542">
        <v>225131</v>
      </c>
      <c r="B1542" t="e">
        <f t="shared" si="64"/>
        <v>#N/A</v>
      </c>
      <c r="C1542" s="209" t="e">
        <f t="shared" si="65"/>
        <v>#N/A</v>
      </c>
      <c r="D1542" t="s">
        <v>5290</v>
      </c>
      <c r="E1542" t="e">
        <v>#N/A</v>
      </c>
      <c r="F1542" t="e">
        <v>#N/A</v>
      </c>
      <c r="G1542" t="e">
        <v>#N/A</v>
      </c>
      <c r="H1542" s="214">
        <v>131.25</v>
      </c>
      <c r="I1542" s="425" t="e">
        <v>#N/A</v>
      </c>
      <c r="J1542" s="91">
        <v>29.592590000000001</v>
      </c>
      <c r="K1542" s="425">
        <v>2522.45822</v>
      </c>
      <c r="L1542" s="542" t="s">
        <v>622</v>
      </c>
    </row>
    <row r="1543" spans="1:12" ht="15">
      <c r="A1543">
        <v>225132</v>
      </c>
      <c r="B1543" t="e">
        <f t="shared" si="64"/>
        <v>#N/A</v>
      </c>
      <c r="C1543" s="209" t="e">
        <f t="shared" si="65"/>
        <v>#N/A</v>
      </c>
      <c r="D1543" t="s">
        <v>5291</v>
      </c>
      <c r="E1543" t="e">
        <v>#N/A</v>
      </c>
      <c r="F1543" t="e">
        <v>#N/A</v>
      </c>
      <c r="G1543" t="e">
        <v>#N/A</v>
      </c>
      <c r="H1543" s="214">
        <v>271.25</v>
      </c>
      <c r="I1543" s="425" t="e">
        <v>#N/A</v>
      </c>
      <c r="J1543" s="91">
        <v>61.158029999999997</v>
      </c>
      <c r="K1543" s="425">
        <v>5213.08032</v>
      </c>
      <c r="L1543" s="542" t="s">
        <v>622</v>
      </c>
    </row>
    <row r="1544" spans="1:12" ht="15">
      <c r="A1544">
        <v>284545</v>
      </c>
      <c r="B1544" t="e">
        <f t="shared" si="64"/>
        <v>#N/A</v>
      </c>
      <c r="C1544" s="209" t="e">
        <f t="shared" si="65"/>
        <v>#N/A</v>
      </c>
      <c r="D1544" t="s">
        <v>5292</v>
      </c>
      <c r="E1544" t="e">
        <v>#N/A</v>
      </c>
      <c r="F1544" t="e">
        <v>#N/A</v>
      </c>
      <c r="G1544" t="e">
        <v>#N/A</v>
      </c>
      <c r="H1544" s="214">
        <v>1084.87067</v>
      </c>
      <c r="I1544" s="425" t="e">
        <v>#N/A</v>
      </c>
      <c r="J1544" s="91">
        <v>135.50005999999999</v>
      </c>
      <c r="K1544" s="425">
        <v>10888.082899999999</v>
      </c>
      <c r="L1544" s="542" t="s">
        <v>621</v>
      </c>
    </row>
    <row r="1545" spans="1:12" ht="15">
      <c r="A1545">
        <v>284546</v>
      </c>
      <c r="B1545" t="e">
        <f t="shared" si="64"/>
        <v>#N/A</v>
      </c>
      <c r="C1545" s="209" t="e">
        <f t="shared" si="65"/>
        <v>#N/A</v>
      </c>
      <c r="D1545" t="s">
        <v>5293</v>
      </c>
      <c r="E1545" t="e">
        <v>#N/A</v>
      </c>
      <c r="F1545" t="e">
        <v>#N/A</v>
      </c>
      <c r="G1545" t="e">
        <v>#N/A</v>
      </c>
      <c r="H1545" s="214">
        <v>1480.77908</v>
      </c>
      <c r="I1545" s="425" t="e">
        <v>#N/A</v>
      </c>
      <c r="J1545" s="91">
        <v>184.94890000000001</v>
      </c>
      <c r="K1545" s="425">
        <v>14861.537</v>
      </c>
      <c r="L1545" s="542" t="s">
        <v>621</v>
      </c>
    </row>
    <row r="1546" spans="1:12" ht="15">
      <c r="A1546">
        <v>284547</v>
      </c>
      <c r="B1546" t="e">
        <f t="shared" si="64"/>
        <v>#N/A</v>
      </c>
      <c r="C1546" s="209" t="e">
        <f t="shared" si="65"/>
        <v>#N/A</v>
      </c>
      <c r="D1546" t="s">
        <v>5294</v>
      </c>
      <c r="E1546" t="e">
        <v>#N/A</v>
      </c>
      <c r="F1546" t="e">
        <v>#N/A</v>
      </c>
      <c r="G1546" t="e">
        <v>#N/A</v>
      </c>
      <c r="H1546" s="214">
        <v>130.60896</v>
      </c>
      <c r="I1546" s="425" t="e">
        <v>#N/A</v>
      </c>
      <c r="J1546" s="91">
        <v>16.148710000000001</v>
      </c>
      <c r="K1546" s="425">
        <v>1308.3331800000001</v>
      </c>
      <c r="L1546" s="542" t="s">
        <v>621</v>
      </c>
    </row>
    <row r="1547" spans="1:12" ht="15">
      <c r="A1547">
        <v>284549</v>
      </c>
      <c r="B1547" t="e">
        <f t="shared" si="64"/>
        <v>#N/A</v>
      </c>
      <c r="C1547" s="209" t="e">
        <f t="shared" si="65"/>
        <v>#N/A</v>
      </c>
      <c r="D1547" t="s">
        <v>5295</v>
      </c>
      <c r="E1547" t="e">
        <v>#N/A</v>
      </c>
      <c r="F1547" t="e">
        <v>#N/A</v>
      </c>
      <c r="G1547" t="e">
        <v>#N/A</v>
      </c>
      <c r="H1547" s="214">
        <v>178.56693999999999</v>
      </c>
      <c r="I1547" s="425" t="e">
        <v>#N/A</v>
      </c>
      <c r="J1547" s="91">
        <v>22.078320000000001</v>
      </c>
      <c r="K1547" s="425">
        <v>1788.73696</v>
      </c>
      <c r="L1547" s="542" t="s">
        <v>621</v>
      </c>
    </row>
    <row r="1548" spans="1:12" ht="15">
      <c r="A1548">
        <v>284550</v>
      </c>
      <c r="B1548" t="e">
        <f t="shared" si="64"/>
        <v>#N/A</v>
      </c>
      <c r="C1548" s="209" t="e">
        <f t="shared" si="65"/>
        <v>#N/A</v>
      </c>
      <c r="D1548" t="s">
        <v>5296</v>
      </c>
      <c r="E1548" t="e">
        <v>#N/A</v>
      </c>
      <c r="F1548" t="e">
        <v>#N/A</v>
      </c>
      <c r="G1548" t="e">
        <v>#N/A</v>
      </c>
      <c r="H1548" s="214">
        <v>261.21791999999999</v>
      </c>
      <c r="I1548" s="425" t="e">
        <v>#N/A</v>
      </c>
      <c r="J1548" s="91">
        <v>32.297449999999998</v>
      </c>
      <c r="K1548" s="425">
        <v>2616.6667299999999</v>
      </c>
      <c r="L1548" s="542" t="s">
        <v>621</v>
      </c>
    </row>
    <row r="1549" spans="1:12" ht="15">
      <c r="A1549">
        <v>284551</v>
      </c>
      <c r="B1549" t="e">
        <f t="shared" si="64"/>
        <v>#N/A</v>
      </c>
      <c r="C1549" s="209" t="e">
        <f t="shared" si="65"/>
        <v>#N/A</v>
      </c>
      <c r="D1549" t="s">
        <v>5297</v>
      </c>
      <c r="E1549" t="e">
        <v>#N/A</v>
      </c>
      <c r="F1549" t="e">
        <v>#N/A</v>
      </c>
      <c r="G1549" t="e">
        <v>#N/A</v>
      </c>
      <c r="H1549" s="214">
        <v>542.84348999999997</v>
      </c>
      <c r="I1549" s="425" t="e">
        <v>#N/A</v>
      </c>
      <c r="J1549" s="91">
        <v>67.801010000000005</v>
      </c>
      <c r="K1549" s="425">
        <v>5448.1378999999997</v>
      </c>
      <c r="L1549" s="542" t="s">
        <v>621</v>
      </c>
    </row>
    <row r="1550" spans="1:12" ht="15">
      <c r="A1550">
        <v>284637</v>
      </c>
      <c r="B1550" t="e">
        <f t="shared" si="64"/>
        <v>#N/A</v>
      </c>
      <c r="C1550" s="209" t="e">
        <f t="shared" si="65"/>
        <v>#N/A</v>
      </c>
      <c r="D1550" t="s">
        <v>5298</v>
      </c>
      <c r="E1550" t="e">
        <v>#N/A</v>
      </c>
      <c r="F1550" t="e">
        <v>#N/A</v>
      </c>
      <c r="G1550" t="e">
        <v>#N/A</v>
      </c>
      <c r="H1550" s="214">
        <v>253.54712000000001</v>
      </c>
      <c r="I1550" s="425" t="e">
        <v>#N/A</v>
      </c>
      <c r="J1550" s="91">
        <v>31.667960000000001</v>
      </c>
      <c r="K1550" s="425">
        <v>2544.6738500000001</v>
      </c>
      <c r="L1550" s="542" t="s">
        <v>621</v>
      </c>
    </row>
    <row r="1551" spans="1:12" ht="15">
      <c r="A1551">
        <v>284638</v>
      </c>
      <c r="B1551" t="e">
        <f t="shared" si="64"/>
        <v>#N/A</v>
      </c>
      <c r="C1551" s="209" t="e">
        <f t="shared" si="65"/>
        <v>#N/A</v>
      </c>
      <c r="D1551" t="s">
        <v>5299</v>
      </c>
      <c r="E1551" t="e">
        <v>#N/A</v>
      </c>
      <c r="F1551" t="e">
        <v>#N/A</v>
      </c>
      <c r="G1551" t="e">
        <v>#N/A</v>
      </c>
      <c r="H1551" s="214">
        <v>115.85928</v>
      </c>
      <c r="I1551" s="425" t="e">
        <v>#N/A</v>
      </c>
      <c r="J1551" s="91">
        <v>14.32504</v>
      </c>
      <c r="K1551" s="425">
        <v>1160.58329</v>
      </c>
      <c r="L1551" s="542" t="s">
        <v>621</v>
      </c>
    </row>
    <row r="1552" spans="1:12" ht="15">
      <c r="A1552">
        <v>284639</v>
      </c>
      <c r="B1552" t="e">
        <f t="shared" si="64"/>
        <v>#N/A</v>
      </c>
      <c r="C1552" s="209" t="e">
        <f t="shared" si="65"/>
        <v>#N/A</v>
      </c>
      <c r="D1552" t="s">
        <v>5300</v>
      </c>
      <c r="E1552" t="e">
        <v>#N/A</v>
      </c>
      <c r="F1552" t="e">
        <v>#N/A</v>
      </c>
      <c r="G1552" t="e">
        <v>#N/A</v>
      </c>
      <c r="H1552" s="214">
        <v>193.09880000000001</v>
      </c>
      <c r="I1552" s="425" t="e">
        <v>#N/A</v>
      </c>
      <c r="J1552" s="91">
        <v>23.875060000000001</v>
      </c>
      <c r="K1552" s="425">
        <v>1934.3051</v>
      </c>
      <c r="L1552" s="542" t="s">
        <v>621</v>
      </c>
    </row>
    <row r="1553" spans="1:12" ht="15">
      <c r="A1553">
        <v>284640</v>
      </c>
      <c r="B1553" t="e">
        <f t="shared" si="64"/>
        <v>#N/A</v>
      </c>
      <c r="C1553" s="209" t="e">
        <f t="shared" si="65"/>
        <v>#N/A</v>
      </c>
      <c r="D1553" t="s">
        <v>5301</v>
      </c>
      <c r="E1553" t="e">
        <v>#N/A</v>
      </c>
      <c r="F1553" t="e">
        <v>#N/A</v>
      </c>
      <c r="G1553" t="e">
        <v>#N/A</v>
      </c>
      <c r="H1553" s="214">
        <v>289.64819999999997</v>
      </c>
      <c r="I1553" s="425" t="e">
        <v>#N/A</v>
      </c>
      <c r="J1553" s="91">
        <v>35.812620000000003</v>
      </c>
      <c r="K1553" s="425">
        <v>2901.4578499999998</v>
      </c>
      <c r="L1553" s="542" t="s">
        <v>621</v>
      </c>
    </row>
    <row r="1554" spans="1:12" ht="15">
      <c r="A1554">
        <v>284641</v>
      </c>
      <c r="B1554" t="e">
        <f t="shared" si="64"/>
        <v>#N/A</v>
      </c>
      <c r="C1554" s="209" t="e">
        <f t="shared" si="65"/>
        <v>#N/A</v>
      </c>
      <c r="D1554" t="s">
        <v>5302</v>
      </c>
      <c r="E1554" t="e">
        <v>#N/A</v>
      </c>
      <c r="F1554" t="e">
        <v>#N/A</v>
      </c>
      <c r="G1554" t="e">
        <v>#N/A</v>
      </c>
      <c r="H1554" s="214">
        <v>497.4393</v>
      </c>
      <c r="I1554" s="425" t="e">
        <v>#N/A</v>
      </c>
      <c r="J1554" s="91">
        <v>61.504260000000002</v>
      </c>
      <c r="K1554" s="425">
        <v>4982.9385700000003</v>
      </c>
      <c r="L1554" s="542" t="s">
        <v>621</v>
      </c>
    </row>
    <row r="1555" spans="1:12" ht="15">
      <c r="A1555">
        <v>284642</v>
      </c>
      <c r="B1555" t="e">
        <f t="shared" si="64"/>
        <v>#N/A</v>
      </c>
      <c r="C1555" s="209" t="e">
        <f t="shared" si="65"/>
        <v>#N/A</v>
      </c>
      <c r="D1555" t="s">
        <v>5303</v>
      </c>
      <c r="E1555" t="e">
        <v>#N/A</v>
      </c>
      <c r="F1555" t="e">
        <v>#N/A</v>
      </c>
      <c r="G1555" t="e">
        <v>#N/A</v>
      </c>
      <c r="H1555" s="214">
        <v>829.06550000000004</v>
      </c>
      <c r="I1555" s="425" t="e">
        <v>#N/A</v>
      </c>
      <c r="J1555" s="91">
        <v>102.50712</v>
      </c>
      <c r="K1555" s="425">
        <v>8304.8977200000008</v>
      </c>
      <c r="L1555" s="542" t="s">
        <v>621</v>
      </c>
    </row>
    <row r="1556" spans="1:12" ht="15">
      <c r="A1556">
        <v>284643</v>
      </c>
      <c r="B1556" t="e">
        <f t="shared" si="64"/>
        <v>#N/A</v>
      </c>
      <c r="C1556" s="209" t="e">
        <f t="shared" si="65"/>
        <v>#N/A</v>
      </c>
      <c r="D1556" t="s">
        <v>5304</v>
      </c>
      <c r="E1556" t="e">
        <v>#N/A</v>
      </c>
      <c r="F1556" t="e">
        <v>#N/A</v>
      </c>
      <c r="G1556" t="e">
        <v>#N/A</v>
      </c>
      <c r="H1556" s="214">
        <v>1243.59825</v>
      </c>
      <c r="I1556" s="425" t="e">
        <v>#N/A</v>
      </c>
      <c r="J1556" s="91">
        <v>153.76067</v>
      </c>
      <c r="K1556" s="425">
        <v>12457.3462</v>
      </c>
      <c r="L1556" s="542" t="s">
        <v>621</v>
      </c>
    </row>
    <row r="1557" spans="1:12" ht="15">
      <c r="A1557">
        <v>284644</v>
      </c>
      <c r="B1557" t="e">
        <f t="shared" si="64"/>
        <v>#N/A</v>
      </c>
      <c r="C1557" s="209" t="e">
        <f t="shared" si="65"/>
        <v>#N/A</v>
      </c>
      <c r="D1557" t="s">
        <v>5305</v>
      </c>
      <c r="E1557" t="e">
        <v>#N/A</v>
      </c>
      <c r="F1557" t="e">
        <v>#N/A</v>
      </c>
      <c r="G1557" t="e">
        <v>#N/A</v>
      </c>
      <c r="H1557" s="214">
        <v>95.70984</v>
      </c>
      <c r="I1557" s="425" t="e">
        <v>#N/A</v>
      </c>
      <c r="J1557" s="91">
        <v>11.954140000000001</v>
      </c>
      <c r="K1557" s="425">
        <v>960.57218999999998</v>
      </c>
      <c r="L1557" s="542" t="s">
        <v>621</v>
      </c>
    </row>
    <row r="1558" spans="1:12" ht="15">
      <c r="A1558">
        <v>284930</v>
      </c>
      <c r="B1558" t="str">
        <f t="shared" si="64"/>
        <v>SEVROLL Comfort horné vedenie 4,05m RAL9005 lesk</v>
      </c>
      <c r="C1558" s="209" t="e">
        <f t="shared" si="65"/>
        <v>#N/A</v>
      </c>
      <c r="D1558" t="s">
        <v>5306</v>
      </c>
      <c r="E1558" t="s">
        <v>6407</v>
      </c>
      <c r="F1558" t="s">
        <v>7016</v>
      </c>
      <c r="G1558" t="s">
        <v>7568</v>
      </c>
      <c r="H1558" s="214">
        <v>0</v>
      </c>
      <c r="I1558" s="425" t="e">
        <v>#N/A</v>
      </c>
      <c r="J1558" s="91">
        <v>0</v>
      </c>
      <c r="K1558" s="425">
        <v>0</v>
      </c>
      <c r="L1558" s="542" t="s">
        <v>622</v>
      </c>
    </row>
    <row r="1559" spans="1:12" ht="15">
      <c r="A1559">
        <v>284935</v>
      </c>
      <c r="B1559" t="str">
        <f t="shared" si="64"/>
        <v>SEVROLL Doubler II spodné vedenie 4,05m RAL9005 lesk</v>
      </c>
      <c r="C1559" s="209" t="e">
        <f t="shared" si="65"/>
        <v>#N/A</v>
      </c>
      <c r="D1559" t="s">
        <v>5307</v>
      </c>
      <c r="E1559" t="s">
        <v>6408</v>
      </c>
      <c r="F1559" t="s">
        <v>7017</v>
      </c>
      <c r="G1559" t="s">
        <v>7569</v>
      </c>
      <c r="H1559" s="214">
        <v>0</v>
      </c>
      <c r="I1559" s="425" t="e">
        <v>#N/A</v>
      </c>
      <c r="J1559" s="91">
        <v>0</v>
      </c>
      <c r="K1559" s="425">
        <v>0</v>
      </c>
      <c r="L1559" s="542" t="s">
        <v>622</v>
      </c>
    </row>
    <row r="1560" spans="1:12" ht="15">
      <c r="A1560">
        <v>284939</v>
      </c>
      <c r="B1560" t="str">
        <f t="shared" si="64"/>
        <v>SEVROLL Doubler II maska 4,05m RAL9005 lesk</v>
      </c>
      <c r="C1560" s="209" t="e">
        <f t="shared" si="65"/>
        <v>#N/A</v>
      </c>
      <c r="D1560" t="s">
        <v>5308</v>
      </c>
      <c r="E1560" t="s">
        <v>6409</v>
      </c>
      <c r="F1560" t="s">
        <v>5308</v>
      </c>
      <c r="G1560" t="s">
        <v>7570</v>
      </c>
      <c r="H1560" s="214">
        <v>0</v>
      </c>
      <c r="I1560" s="425" t="e">
        <v>#N/A</v>
      </c>
      <c r="J1560" s="91">
        <v>0</v>
      </c>
      <c r="K1560" s="425">
        <v>0</v>
      </c>
      <c r="L1560" s="542" t="s">
        <v>622</v>
      </c>
    </row>
    <row r="1561" spans="1:12" ht="15">
      <c r="A1561">
        <v>284941</v>
      </c>
      <c r="B1561" t="str">
        <f t="shared" si="64"/>
        <v>SEVROLL Future II úchytová lišt.2,7m RAL9005</v>
      </c>
      <c r="C1561" s="209" t="e">
        <f t="shared" si="65"/>
        <v>#N/A</v>
      </c>
      <c r="D1561" t="s">
        <v>5309</v>
      </c>
      <c r="E1561" t="s">
        <v>6410</v>
      </c>
      <c r="F1561" t="s">
        <v>7018</v>
      </c>
      <c r="G1561" t="s">
        <v>7571</v>
      </c>
      <c r="H1561" s="214">
        <v>0</v>
      </c>
      <c r="I1561" s="425" t="e">
        <v>#N/A</v>
      </c>
      <c r="J1561" s="91">
        <v>0</v>
      </c>
      <c r="K1561" s="425">
        <v>0</v>
      </c>
      <c r="L1561" s="542" t="s">
        <v>622</v>
      </c>
    </row>
    <row r="1562" spans="1:12" ht="15">
      <c r="A1562">
        <v>284942</v>
      </c>
      <c r="B1562" t="str">
        <f t="shared" si="64"/>
        <v>SEVROLL horná vodialca lišta 2,35m RAL9005 lesk</v>
      </c>
      <c r="C1562" s="209" t="e">
        <f t="shared" si="65"/>
        <v>#N/A</v>
      </c>
      <c r="D1562" t="s">
        <v>5310</v>
      </c>
      <c r="E1562" t="s">
        <v>6411</v>
      </c>
      <c r="F1562" t="s">
        <v>7019</v>
      </c>
      <c r="G1562" t="s">
        <v>7572</v>
      </c>
      <c r="H1562" s="214">
        <v>0</v>
      </c>
      <c r="I1562" s="425" t="e">
        <v>#N/A</v>
      </c>
      <c r="J1562" s="91">
        <v>0</v>
      </c>
      <c r="K1562" s="425">
        <v>0</v>
      </c>
      <c r="L1562" s="542" t="s">
        <v>622</v>
      </c>
    </row>
    <row r="1563" spans="1:12" ht="15">
      <c r="A1563">
        <v>284944</v>
      </c>
      <c r="B1563" t="str">
        <f t="shared" si="64"/>
        <v>SEVROLL spodná krycia lišta 2,35m RAL9005 lesk</v>
      </c>
      <c r="C1563" s="209" t="e">
        <f t="shared" si="65"/>
        <v>#N/A</v>
      </c>
      <c r="D1563" t="s">
        <v>5311</v>
      </c>
      <c r="E1563" t="s">
        <v>6412</v>
      </c>
      <c r="F1563" t="s">
        <v>7020</v>
      </c>
      <c r="G1563" t="s">
        <v>7573</v>
      </c>
      <c r="H1563" s="214">
        <v>0</v>
      </c>
      <c r="I1563" s="425" t="e">
        <v>#N/A</v>
      </c>
      <c r="J1563" s="91">
        <v>0</v>
      </c>
      <c r="K1563" s="425">
        <v>0</v>
      </c>
      <c r="L1563" s="542" t="s">
        <v>622</v>
      </c>
    </row>
    <row r="1564" spans="1:12" ht="15">
      <c r="A1564">
        <v>284945</v>
      </c>
      <c r="B1564" t="str">
        <f t="shared" si="64"/>
        <v>SEVROLL spojovacia lišta H30 3m RAL9005 lesk</v>
      </c>
      <c r="C1564" s="209" t="e">
        <f t="shared" si="65"/>
        <v>#N/A</v>
      </c>
      <c r="D1564" t="s">
        <v>5312</v>
      </c>
      <c r="E1564" t="s">
        <v>6413</v>
      </c>
      <c r="F1564" t="s">
        <v>7021</v>
      </c>
      <c r="G1564" t="s">
        <v>7574</v>
      </c>
      <c r="H1564" s="214">
        <v>0</v>
      </c>
      <c r="I1564" s="425" t="e">
        <v>#N/A</v>
      </c>
      <c r="J1564" s="91">
        <v>0</v>
      </c>
      <c r="K1564" s="425">
        <v>0</v>
      </c>
      <c r="L1564" s="542" t="s">
        <v>622</v>
      </c>
    </row>
    <row r="1565" spans="1:12" ht="15">
      <c r="A1565">
        <v>409431</v>
      </c>
      <c r="B1565" t="e">
        <f t="shared" si="64"/>
        <v>#N/A</v>
      </c>
      <c r="C1565" s="209" t="e">
        <f t="shared" si="65"/>
        <v>#N/A</v>
      </c>
      <c r="D1565" t="s">
        <v>5313</v>
      </c>
      <c r="E1565" t="e">
        <v>#N/A</v>
      </c>
      <c r="F1565" t="e">
        <v>#N/A</v>
      </c>
      <c r="G1565" t="e">
        <v>#N/A</v>
      </c>
      <c r="H1565" s="214">
        <v>815.4</v>
      </c>
      <c r="I1565" s="425" t="e">
        <v>#N/A</v>
      </c>
      <c r="J1565" s="91">
        <v>139.62724</v>
      </c>
      <c r="K1565" s="425">
        <v>10214.844660000001</v>
      </c>
      <c r="L1565" s="542" t="s">
        <v>622</v>
      </c>
    </row>
    <row r="1566" spans="1:12" ht="15">
      <c r="A1566">
        <v>409464</v>
      </c>
      <c r="B1566" t="str">
        <f t="shared" si="64"/>
        <v>SEVROLL Blue horné vedenie 4m strieborná</v>
      </c>
      <c r="C1566" s="209" t="e">
        <f t="shared" si="65"/>
        <v>#N/A</v>
      </c>
      <c r="D1566" t="s">
        <v>5314</v>
      </c>
      <c r="E1566" t="s">
        <v>6414</v>
      </c>
      <c r="F1566" t="s">
        <v>4073</v>
      </c>
      <c r="G1566" t="s">
        <v>7575</v>
      </c>
      <c r="H1566" s="214">
        <v>0</v>
      </c>
      <c r="I1566" s="425" t="e">
        <v>#N/A</v>
      </c>
      <c r="J1566" s="91">
        <v>189.16578999999999</v>
      </c>
      <c r="K1566" s="425">
        <v>0</v>
      </c>
      <c r="L1566" s="542" t="s">
        <v>622</v>
      </c>
    </row>
    <row r="1567" spans="1:12" ht="15">
      <c r="A1567">
        <v>409469</v>
      </c>
      <c r="B1567" t="str">
        <f t="shared" ref="B1567:B1598" si="66">IF($A$2=1,D1567,IF($A$2=2,F1567,IF($A$2=3,G1567,IF($A$2=4,E1567,"zadat jazyk"))))</f>
        <v>SEVROLL Blue-V spodné vedenie 4m strieborná</v>
      </c>
      <c r="C1567" s="209" t="e">
        <f t="shared" ref="C1567:C1598" si="67">IF($A$2=1,H1567,IF($A$2=2,I1567,IF($A$2=3,J1567,IF($A$2=4,K1567,"zadat jazyk"))))</f>
        <v>#N/A</v>
      </c>
      <c r="D1567" t="s">
        <v>5315</v>
      </c>
      <c r="E1567" t="s">
        <v>6415</v>
      </c>
      <c r="F1567" t="s">
        <v>4067</v>
      </c>
      <c r="G1567" t="s">
        <v>7576</v>
      </c>
      <c r="H1567" s="214">
        <v>0</v>
      </c>
      <c r="I1567" s="425" t="e">
        <v>#N/A</v>
      </c>
      <c r="J1567" s="91">
        <v>97.008099999999999</v>
      </c>
      <c r="K1567" s="425">
        <v>0</v>
      </c>
      <c r="L1567" s="542" t="s">
        <v>622</v>
      </c>
    </row>
    <row r="1568" spans="1:12" ht="15">
      <c r="A1568">
        <v>315863</v>
      </c>
      <c r="B1568" t="str">
        <f t="shared" si="66"/>
        <v/>
      </c>
      <c r="C1568" s="209">
        <f t="shared" si="67"/>
        <v>56.475670000000001</v>
      </c>
      <c r="D1568" t="s">
        <v>5316</v>
      </c>
      <c r="E1568" t="s">
        <v>6416</v>
      </c>
      <c r="F1568" t="s">
        <v>84</v>
      </c>
      <c r="G1568" t="s">
        <v>7577</v>
      </c>
      <c r="H1568" s="214">
        <v>1188.8253</v>
      </c>
      <c r="I1568" s="425">
        <v>56.475670000000001</v>
      </c>
      <c r="J1568" s="91">
        <v>173.89</v>
      </c>
      <c r="K1568" s="425">
        <v>16587.526699999999</v>
      </c>
      <c r="L1568" s="542" t="s">
        <v>622</v>
      </c>
    </row>
    <row r="1569" spans="1:12" ht="15">
      <c r="A1569">
        <v>387402</v>
      </c>
      <c r="B1569" t="str">
        <f t="shared" si="66"/>
        <v/>
      </c>
      <c r="C1569" s="209">
        <f t="shared" si="67"/>
        <v>0</v>
      </c>
      <c r="D1569" t="s">
        <v>5317</v>
      </c>
      <c r="E1569" t="s">
        <v>6417</v>
      </c>
      <c r="F1569" t="s">
        <v>84</v>
      </c>
      <c r="G1569" t="s">
        <v>84</v>
      </c>
      <c r="H1569" s="214">
        <v>0</v>
      </c>
      <c r="I1569" s="425">
        <v>0</v>
      </c>
      <c r="J1569" s="91">
        <v>324.80097999999998</v>
      </c>
      <c r="K1569" s="425">
        <v>42000</v>
      </c>
      <c r="L1569" s="542" t="s">
        <v>624</v>
      </c>
    </row>
    <row r="1570" spans="1:12" ht="15">
      <c r="A1570">
        <v>387796</v>
      </c>
      <c r="B1570" t="e">
        <f t="shared" si="66"/>
        <v>#N/A</v>
      </c>
      <c r="C1570" s="209" t="e">
        <f t="shared" si="67"/>
        <v>#N/A</v>
      </c>
      <c r="D1570" t="s">
        <v>5318</v>
      </c>
      <c r="E1570" t="e">
        <v>#N/A</v>
      </c>
      <c r="F1570" t="e">
        <v>#N/A</v>
      </c>
      <c r="G1570" t="e">
        <v>#N/A</v>
      </c>
      <c r="H1570" s="214">
        <v>173.92683</v>
      </c>
      <c r="I1570" s="425" t="e">
        <v>#N/A</v>
      </c>
      <c r="J1570" s="91">
        <v>32.481110000000001</v>
      </c>
      <c r="K1570" s="425">
        <v>2539.91428</v>
      </c>
      <c r="L1570" s="542" t="s">
        <v>622</v>
      </c>
    </row>
    <row r="1571" spans="1:12" ht="15">
      <c r="A1571">
        <v>387801</v>
      </c>
      <c r="B1571" t="e">
        <f t="shared" si="66"/>
        <v>#N/A</v>
      </c>
      <c r="C1571" s="209" t="e">
        <f t="shared" si="67"/>
        <v>#N/A</v>
      </c>
      <c r="D1571" t="s">
        <v>5319</v>
      </c>
      <c r="E1571" t="e">
        <v>#N/A</v>
      </c>
      <c r="F1571" t="e">
        <v>#N/A</v>
      </c>
      <c r="G1571" t="e">
        <v>#N/A</v>
      </c>
      <c r="H1571" s="214">
        <v>76.851389999999995</v>
      </c>
      <c r="I1571" s="425" t="e">
        <v>#N/A</v>
      </c>
      <c r="J1571" s="91">
        <v>14.352119999999999</v>
      </c>
      <c r="K1571" s="425">
        <v>1122.2877100000001</v>
      </c>
      <c r="L1571" s="542" t="s">
        <v>622</v>
      </c>
    </row>
    <row r="1572" spans="1:12" ht="15">
      <c r="A1572">
        <v>387808</v>
      </c>
      <c r="B1572" t="str">
        <f t="shared" si="66"/>
        <v/>
      </c>
      <c r="C1572" s="209" t="e">
        <f t="shared" si="67"/>
        <v>#N/A</v>
      </c>
      <c r="D1572" t="s">
        <v>5320</v>
      </c>
      <c r="E1572" t="s">
        <v>6418</v>
      </c>
      <c r="F1572" t="s">
        <v>84</v>
      </c>
      <c r="G1572" t="s">
        <v>84</v>
      </c>
      <c r="H1572" s="214">
        <v>0</v>
      </c>
      <c r="I1572" s="425" t="e">
        <v>#N/A</v>
      </c>
      <c r="J1572" s="91">
        <v>162.05025000000001</v>
      </c>
      <c r="K1572" s="425">
        <v>0</v>
      </c>
      <c r="L1572" s="542" t="s">
        <v>622</v>
      </c>
    </row>
    <row r="1573" spans="1:12" ht="15">
      <c r="A1573">
        <v>387810</v>
      </c>
      <c r="B1573" t="str">
        <f t="shared" si="66"/>
        <v/>
      </c>
      <c r="C1573" s="209" t="e">
        <f t="shared" si="67"/>
        <v>#N/A</v>
      </c>
      <c r="D1573" t="s">
        <v>5321</v>
      </c>
      <c r="E1573" t="s">
        <v>6419</v>
      </c>
      <c r="F1573" t="s">
        <v>84</v>
      </c>
      <c r="G1573" t="s">
        <v>84</v>
      </c>
      <c r="H1573" s="214">
        <v>0</v>
      </c>
      <c r="I1573" s="425" t="e">
        <v>#N/A</v>
      </c>
      <c r="J1573" s="91">
        <v>83.007800000000003</v>
      </c>
      <c r="K1573" s="425">
        <v>0</v>
      </c>
      <c r="L1573" s="542" t="s">
        <v>622</v>
      </c>
    </row>
    <row r="1574" spans="1:12" ht="15">
      <c r="A1574">
        <v>388128</v>
      </c>
      <c r="B1574" t="str">
        <f t="shared" si="66"/>
        <v/>
      </c>
      <c r="C1574" s="209">
        <f t="shared" si="67"/>
        <v>21.645389999999999</v>
      </c>
      <c r="D1574" t="s">
        <v>5322</v>
      </c>
      <c r="E1574" t="s">
        <v>6420</v>
      </c>
      <c r="F1574" t="s">
        <v>84</v>
      </c>
      <c r="G1574" t="s">
        <v>84</v>
      </c>
      <c r="H1574" s="214">
        <v>580.73087999999996</v>
      </c>
      <c r="I1574" s="425">
        <v>21.645389999999999</v>
      </c>
      <c r="J1574" s="91">
        <v>81.010000000000005</v>
      </c>
      <c r="K1574" s="425">
        <v>6579.8453099999997</v>
      </c>
      <c r="L1574" s="542" t="s">
        <v>622</v>
      </c>
    </row>
    <row r="1575" spans="1:12" ht="15">
      <c r="A1575">
        <v>388130</v>
      </c>
      <c r="B1575" t="str">
        <f t="shared" si="66"/>
        <v/>
      </c>
      <c r="C1575" s="209">
        <f t="shared" si="67"/>
        <v>27.623180000000001</v>
      </c>
      <c r="D1575" t="s">
        <v>5323</v>
      </c>
      <c r="E1575" t="s">
        <v>6421</v>
      </c>
      <c r="F1575" t="s">
        <v>84</v>
      </c>
      <c r="G1575" t="s">
        <v>84</v>
      </c>
      <c r="H1575" s="214">
        <v>741.57056</v>
      </c>
      <c r="I1575" s="425">
        <v>27.623180000000001</v>
      </c>
      <c r="J1575" s="91">
        <v>103.45</v>
      </c>
      <c r="K1575" s="425">
        <v>8402.2044100000003</v>
      </c>
      <c r="L1575" s="542" t="s">
        <v>622</v>
      </c>
    </row>
    <row r="1576" spans="1:12" ht="15">
      <c r="A1576">
        <v>388131</v>
      </c>
      <c r="B1576" t="str">
        <f t="shared" si="66"/>
        <v/>
      </c>
      <c r="C1576" s="209">
        <f t="shared" si="67"/>
        <v>37.3371</v>
      </c>
      <c r="D1576" t="s">
        <v>5324</v>
      </c>
      <c r="E1576" t="s">
        <v>6422</v>
      </c>
      <c r="F1576" t="s">
        <v>84</v>
      </c>
      <c r="G1576" t="s">
        <v>84</v>
      </c>
      <c r="H1576" s="214">
        <v>1002.04544</v>
      </c>
      <c r="I1576" s="425">
        <v>37.3371</v>
      </c>
      <c r="J1576" s="91">
        <v>127.16799</v>
      </c>
      <c r="K1576" s="425">
        <v>11353.458559999999</v>
      </c>
      <c r="L1576" s="542" t="s">
        <v>622</v>
      </c>
    </row>
    <row r="1577" spans="1:12" ht="15">
      <c r="A1577">
        <v>388133</v>
      </c>
      <c r="B1577" t="str">
        <f t="shared" si="66"/>
        <v/>
      </c>
      <c r="C1577" s="209">
        <f t="shared" si="67"/>
        <v>0</v>
      </c>
      <c r="D1577" t="s">
        <v>5325</v>
      </c>
      <c r="E1577" t="s">
        <v>6423</v>
      </c>
      <c r="F1577" t="s">
        <v>84</v>
      </c>
      <c r="G1577" t="s">
        <v>84</v>
      </c>
      <c r="H1577" s="214">
        <v>641.03324999999995</v>
      </c>
      <c r="I1577" s="425">
        <v>0</v>
      </c>
      <c r="J1577" s="91">
        <v>78.220420000000004</v>
      </c>
      <c r="K1577" s="425">
        <v>6568.65319</v>
      </c>
      <c r="L1577" s="542" t="s">
        <v>622</v>
      </c>
    </row>
    <row r="1578" spans="1:12" ht="15">
      <c r="A1578">
        <v>388134</v>
      </c>
      <c r="B1578" t="str">
        <f t="shared" si="66"/>
        <v/>
      </c>
      <c r="C1578" s="209">
        <f t="shared" si="67"/>
        <v>0</v>
      </c>
      <c r="D1578" t="s">
        <v>5326</v>
      </c>
      <c r="E1578" t="s">
        <v>6424</v>
      </c>
      <c r="F1578" t="s">
        <v>84</v>
      </c>
      <c r="G1578" t="s">
        <v>84</v>
      </c>
      <c r="H1578" s="214">
        <v>512.82659999999998</v>
      </c>
      <c r="I1578" s="425">
        <v>0</v>
      </c>
      <c r="J1578" s="91">
        <v>62.576349999999998</v>
      </c>
      <c r="K1578" s="425">
        <v>5254.92256</v>
      </c>
      <c r="L1578" s="542" t="s">
        <v>622</v>
      </c>
    </row>
    <row r="1579" spans="1:12" ht="15">
      <c r="A1579">
        <v>388236</v>
      </c>
      <c r="B1579" t="str">
        <f t="shared" si="66"/>
        <v/>
      </c>
      <c r="C1579" s="209" t="e">
        <f t="shared" si="67"/>
        <v>#N/A</v>
      </c>
      <c r="D1579" t="s">
        <v>5327</v>
      </c>
      <c r="E1579" t="s">
        <v>6425</v>
      </c>
      <c r="F1579" t="s">
        <v>84</v>
      </c>
      <c r="G1579" t="s">
        <v>84</v>
      </c>
      <c r="H1579" s="214">
        <v>0</v>
      </c>
      <c r="I1579" s="425" t="e">
        <v>#N/A</v>
      </c>
      <c r="J1579" s="91">
        <v>0</v>
      </c>
      <c r="K1579" s="425">
        <v>0</v>
      </c>
      <c r="L1579" s="542" t="s">
        <v>622</v>
      </c>
    </row>
    <row r="1580" spans="1:12" ht="15">
      <c r="A1580">
        <v>388237</v>
      </c>
      <c r="B1580" t="str">
        <f t="shared" si="66"/>
        <v/>
      </c>
      <c r="C1580" s="209" t="e">
        <f t="shared" si="67"/>
        <v>#N/A</v>
      </c>
      <c r="D1580" t="s">
        <v>5328</v>
      </c>
      <c r="E1580" t="s">
        <v>6426</v>
      </c>
      <c r="F1580" t="s">
        <v>84</v>
      </c>
      <c r="G1580" t="s">
        <v>84</v>
      </c>
      <c r="H1580" s="214">
        <v>0</v>
      </c>
      <c r="I1580" s="425" t="e">
        <v>#N/A</v>
      </c>
      <c r="J1580" s="91">
        <v>0</v>
      </c>
      <c r="K1580" s="425">
        <v>0</v>
      </c>
      <c r="L1580" s="542" t="s">
        <v>622</v>
      </c>
    </row>
    <row r="1581" spans="1:12" ht="15">
      <c r="A1581">
        <v>458673</v>
      </c>
      <c r="B1581" t="str">
        <f t="shared" si="66"/>
        <v>K-SEVROLL vzorky Úchytové lišty 2021 - doplňujúca súprava k 180245</v>
      </c>
      <c r="C1581" s="209">
        <f t="shared" si="67"/>
        <v>0</v>
      </c>
      <c r="D1581" t="s">
        <v>5329</v>
      </c>
      <c r="E1581" t="s">
        <v>6427</v>
      </c>
      <c r="F1581" t="s">
        <v>7022</v>
      </c>
      <c r="G1581" t="s">
        <v>84</v>
      </c>
      <c r="H1581" s="214">
        <v>0</v>
      </c>
      <c r="I1581" s="425">
        <v>0</v>
      </c>
      <c r="J1581" s="91">
        <v>0</v>
      </c>
      <c r="K1581" s="425">
        <v>0</v>
      </c>
      <c r="L1581" s="542" t="s">
        <v>624</v>
      </c>
    </row>
    <row r="1582" spans="1:12" ht="15">
      <c r="A1582">
        <v>458712</v>
      </c>
      <c r="B1582" t="str">
        <f t="shared" si="66"/>
        <v>SEVROLL spodná krycia lišta Simple/Blue 2m (18mm) oliva new</v>
      </c>
      <c r="C1582" s="209">
        <f t="shared" si="67"/>
        <v>17.792940000000002</v>
      </c>
      <c r="D1582" t="s">
        <v>5330</v>
      </c>
      <c r="E1582" t="s">
        <v>6428</v>
      </c>
      <c r="F1582" t="s">
        <v>7023</v>
      </c>
      <c r="G1582" t="s">
        <v>7578</v>
      </c>
      <c r="H1582" s="214">
        <v>465.09399999999999</v>
      </c>
      <c r="I1582" s="425">
        <v>17.792940000000002</v>
      </c>
      <c r="J1582" s="91">
        <v>68.38</v>
      </c>
      <c r="K1582" s="425">
        <v>4434.9447499999997</v>
      </c>
      <c r="L1582" s="542" t="s">
        <v>621</v>
      </c>
    </row>
    <row r="1583" spans="1:12" ht="15">
      <c r="A1583">
        <v>459711</v>
      </c>
      <c r="B1583" t="str">
        <f t="shared" si="66"/>
        <v/>
      </c>
      <c r="C1583" s="209">
        <f t="shared" si="67"/>
        <v>82.5321</v>
      </c>
      <c r="D1583" t="s">
        <v>5331</v>
      </c>
      <c r="E1583" t="s">
        <v>84</v>
      </c>
      <c r="F1583" t="s">
        <v>84</v>
      </c>
      <c r="G1583" t="s">
        <v>84</v>
      </c>
      <c r="H1583" s="214">
        <v>2445.33248</v>
      </c>
      <c r="I1583" s="425">
        <v>82.5321</v>
      </c>
      <c r="J1583" s="91">
        <v>310.33323000000001</v>
      </c>
      <c r="K1583" s="425">
        <v>27706.309389999999</v>
      </c>
      <c r="L1583" s="542" t="s">
        <v>622</v>
      </c>
    </row>
    <row r="1584" spans="1:12" ht="15">
      <c r="A1584">
        <v>459712</v>
      </c>
      <c r="B1584" t="str">
        <f t="shared" si="66"/>
        <v/>
      </c>
      <c r="C1584" s="209">
        <f t="shared" si="67"/>
        <v>121.12260000000001</v>
      </c>
      <c r="D1584" t="s">
        <v>5332</v>
      </c>
      <c r="E1584" t="s">
        <v>84</v>
      </c>
      <c r="F1584" t="s">
        <v>84</v>
      </c>
      <c r="G1584" t="s">
        <v>84</v>
      </c>
      <c r="H1584" s="214">
        <v>3589.0022399999998</v>
      </c>
      <c r="I1584" s="425">
        <v>121.12260000000001</v>
      </c>
      <c r="J1584" s="91">
        <v>455.47451999999998</v>
      </c>
      <c r="K1584" s="425">
        <v>40664.411610000003</v>
      </c>
      <c r="L1584" s="542" t="s">
        <v>622</v>
      </c>
    </row>
    <row r="1585" spans="1:12" ht="15">
      <c r="A1585">
        <v>459713</v>
      </c>
      <c r="B1585" t="str">
        <f t="shared" si="66"/>
        <v/>
      </c>
      <c r="C1585" s="209">
        <f t="shared" si="67"/>
        <v>159.54437999999999</v>
      </c>
      <c r="D1585" t="s">
        <v>5333</v>
      </c>
      <c r="E1585" t="s">
        <v>84</v>
      </c>
      <c r="F1585" t="s">
        <v>84</v>
      </c>
      <c r="G1585" t="s">
        <v>84</v>
      </c>
      <c r="H1585" s="214">
        <v>4727.6902399999999</v>
      </c>
      <c r="I1585" s="425">
        <v>159.54437999999999</v>
      </c>
      <c r="J1585" s="91">
        <v>599.98360000000002</v>
      </c>
      <c r="K1585" s="425">
        <v>53566.069049999998</v>
      </c>
      <c r="L1585" s="542" t="s">
        <v>622</v>
      </c>
    </row>
    <row r="1586" spans="1:12" ht="15">
      <c r="A1586">
        <v>459714</v>
      </c>
      <c r="B1586" t="str">
        <f t="shared" si="66"/>
        <v/>
      </c>
      <c r="C1586" s="209">
        <f t="shared" si="67"/>
        <v>203.53417999999999</v>
      </c>
      <c r="D1586" t="s">
        <v>5334</v>
      </c>
      <c r="E1586" t="s">
        <v>84</v>
      </c>
      <c r="F1586" t="s">
        <v>84</v>
      </c>
      <c r="G1586" t="s">
        <v>84</v>
      </c>
      <c r="H1586" s="214">
        <v>6009.4259199999997</v>
      </c>
      <c r="I1586" s="425">
        <v>203.53417999999999</v>
      </c>
      <c r="J1586" s="91">
        <v>762.64661000000001</v>
      </c>
      <c r="K1586" s="425">
        <v>68088.497229999994</v>
      </c>
      <c r="L1586" s="542" t="s">
        <v>622</v>
      </c>
    </row>
    <row r="1587" spans="1:12" ht="15">
      <c r="A1587">
        <v>195337</v>
      </c>
      <c r="B1587" t="e">
        <f t="shared" si="66"/>
        <v>#N/A</v>
      </c>
      <c r="C1587" s="209" t="e">
        <f t="shared" si="67"/>
        <v>#N/A</v>
      </c>
      <c r="D1587" t="s">
        <v>5335</v>
      </c>
      <c r="E1587" t="e">
        <v>#N/A</v>
      </c>
      <c r="F1587" t="e">
        <v>#N/A</v>
      </c>
      <c r="G1587" t="e">
        <v>#N/A</v>
      </c>
      <c r="H1587" s="214">
        <v>27773</v>
      </c>
      <c r="I1587" s="425" t="e">
        <v>#N/A</v>
      </c>
      <c r="J1587" s="91">
        <v>2627.58547</v>
      </c>
      <c r="K1587" s="425">
        <v>242924.03314000001</v>
      </c>
      <c r="L1587" s="542" t="s">
        <v>622</v>
      </c>
    </row>
    <row r="1588" spans="1:12" ht="15">
      <c r="A1588">
        <v>196558</v>
      </c>
      <c r="B1588" t="e">
        <f t="shared" si="66"/>
        <v>#N/A</v>
      </c>
      <c r="C1588" s="209" t="e">
        <f t="shared" si="67"/>
        <v>#N/A</v>
      </c>
      <c r="D1588" t="s">
        <v>5336</v>
      </c>
      <c r="E1588" t="e">
        <v>#N/A</v>
      </c>
      <c r="F1588" t="e">
        <v>#N/A</v>
      </c>
      <c r="G1588" t="e">
        <v>#N/A</v>
      </c>
      <c r="H1588" s="214">
        <v>204.13095999999999</v>
      </c>
      <c r="I1588" s="425" t="e">
        <v>#N/A</v>
      </c>
      <c r="J1588" s="91">
        <v>38.12377</v>
      </c>
      <c r="K1588" s="425">
        <v>3074.20856</v>
      </c>
      <c r="L1588" s="542" t="s">
        <v>622</v>
      </c>
    </row>
    <row r="1589" spans="1:12" ht="15">
      <c r="A1589">
        <v>197344</v>
      </c>
      <c r="B1589" t="e">
        <f t="shared" si="66"/>
        <v>#N/A</v>
      </c>
      <c r="C1589" s="209" t="e">
        <f t="shared" si="67"/>
        <v>#N/A</v>
      </c>
      <c r="D1589" t="s">
        <v>5337</v>
      </c>
      <c r="E1589" t="e">
        <v>#N/A</v>
      </c>
      <c r="F1589" t="e">
        <v>#N/A</v>
      </c>
      <c r="G1589" t="e">
        <v>#N/A</v>
      </c>
      <c r="H1589" s="214">
        <v>91.677599999999998</v>
      </c>
      <c r="I1589" s="425" t="e">
        <v>#N/A</v>
      </c>
      <c r="J1589" s="91">
        <v>17.121829999999999</v>
      </c>
      <c r="K1589" s="425">
        <v>1338.8695499999999</v>
      </c>
      <c r="L1589" s="542" t="s">
        <v>622</v>
      </c>
    </row>
    <row r="1590" spans="1:12" ht="15">
      <c r="A1590">
        <v>197345</v>
      </c>
      <c r="B1590" t="e">
        <f t="shared" si="66"/>
        <v>#N/A</v>
      </c>
      <c r="C1590" s="209" t="e">
        <f t="shared" si="67"/>
        <v>#N/A</v>
      </c>
      <c r="D1590" t="s">
        <v>5338</v>
      </c>
      <c r="E1590" t="e">
        <v>#N/A</v>
      </c>
      <c r="F1590" t="e">
        <v>#N/A</v>
      </c>
      <c r="G1590" t="e">
        <v>#N/A</v>
      </c>
      <c r="H1590" s="214">
        <v>80.891999999999996</v>
      </c>
      <c r="I1590" s="425" t="e">
        <v>#N/A</v>
      </c>
      <c r="J1590" s="91">
        <v>15.10749</v>
      </c>
      <c r="K1590" s="425">
        <v>1181.3554799999999</v>
      </c>
      <c r="L1590" s="542" t="s">
        <v>622</v>
      </c>
    </row>
    <row r="1591" spans="1:12" ht="15">
      <c r="A1591">
        <v>197346</v>
      </c>
      <c r="B1591" t="e">
        <f t="shared" si="66"/>
        <v>#N/A</v>
      </c>
      <c r="C1591" s="209" t="e">
        <f t="shared" si="67"/>
        <v>#N/A</v>
      </c>
      <c r="D1591" t="s">
        <v>5339</v>
      </c>
      <c r="E1591" t="e">
        <v>#N/A</v>
      </c>
      <c r="F1591" t="e">
        <v>#N/A</v>
      </c>
      <c r="G1591" t="e">
        <v>#N/A</v>
      </c>
      <c r="H1591" s="214">
        <v>121.33799999999999</v>
      </c>
      <c r="I1591" s="425" t="e">
        <v>#N/A</v>
      </c>
      <c r="J1591" s="91">
        <v>22.661239999999999</v>
      </c>
      <c r="K1591" s="425">
        <v>1772.0332100000001</v>
      </c>
      <c r="L1591" s="542" t="s">
        <v>622</v>
      </c>
    </row>
    <row r="1592" spans="1:12" ht="15">
      <c r="A1592">
        <v>197347</v>
      </c>
      <c r="B1592" t="e">
        <f t="shared" si="66"/>
        <v>#N/A</v>
      </c>
      <c r="C1592" s="209" t="e">
        <f t="shared" si="67"/>
        <v>#N/A</v>
      </c>
      <c r="D1592" t="s">
        <v>5340</v>
      </c>
      <c r="E1592" t="e">
        <v>#N/A</v>
      </c>
      <c r="F1592" t="e">
        <v>#N/A</v>
      </c>
      <c r="G1592" t="e">
        <v>#N/A</v>
      </c>
      <c r="H1592" s="214">
        <v>486.02609999999999</v>
      </c>
      <c r="I1592" s="425" t="e">
        <v>#N/A</v>
      </c>
      <c r="J1592" s="91">
        <v>90.770870000000002</v>
      </c>
      <c r="K1592" s="425">
        <v>7097.9775099999997</v>
      </c>
      <c r="L1592" s="542" t="s">
        <v>622</v>
      </c>
    </row>
    <row r="1593" spans="1:12" ht="15">
      <c r="A1593">
        <v>197349</v>
      </c>
      <c r="B1593" t="e">
        <f t="shared" si="66"/>
        <v>#N/A</v>
      </c>
      <c r="C1593" s="209" t="e">
        <f t="shared" si="67"/>
        <v>#N/A</v>
      </c>
      <c r="D1593" t="s">
        <v>5341</v>
      </c>
      <c r="E1593" t="e">
        <v>#N/A</v>
      </c>
      <c r="F1593" t="e">
        <v>#N/A</v>
      </c>
      <c r="G1593" t="e">
        <v>#N/A</v>
      </c>
      <c r="H1593" s="214">
        <v>451.30995000000001</v>
      </c>
      <c r="I1593" s="425" t="e">
        <v>#N/A</v>
      </c>
      <c r="J1593" s="91">
        <v>84.287229999999994</v>
      </c>
      <c r="K1593" s="425">
        <v>6796.7196199999998</v>
      </c>
      <c r="L1593" s="542" t="s">
        <v>622</v>
      </c>
    </row>
    <row r="1594" spans="1:12" ht="15">
      <c r="A1594">
        <v>198307</v>
      </c>
      <c r="B1594" t="e">
        <f t="shared" si="66"/>
        <v>#N/A</v>
      </c>
      <c r="C1594" s="209" t="e">
        <f t="shared" si="67"/>
        <v>#N/A</v>
      </c>
      <c r="D1594" t="s">
        <v>5342</v>
      </c>
      <c r="E1594" t="e">
        <v>#N/A</v>
      </c>
      <c r="F1594" t="e">
        <v>#N/A</v>
      </c>
      <c r="G1594" t="e">
        <v>#N/A</v>
      </c>
      <c r="H1594" s="214">
        <v>607.95000000000005</v>
      </c>
      <c r="I1594" s="425" t="e">
        <v>#N/A</v>
      </c>
      <c r="J1594" s="91">
        <v>0</v>
      </c>
      <c r="K1594" s="425">
        <v>0</v>
      </c>
      <c r="L1594" s="542" t="s">
        <v>622</v>
      </c>
    </row>
    <row r="1595" spans="1:12" ht="15">
      <c r="A1595">
        <v>198435</v>
      </c>
      <c r="B1595" t="e">
        <f t="shared" si="66"/>
        <v>#N/A</v>
      </c>
      <c r="C1595" s="209" t="e">
        <f t="shared" si="67"/>
        <v>#N/A</v>
      </c>
      <c r="D1595" t="s">
        <v>5343</v>
      </c>
      <c r="E1595" t="e">
        <v>#N/A</v>
      </c>
      <c r="F1595" t="e">
        <v>#N/A</v>
      </c>
      <c r="G1595" t="e">
        <v>#N/A</v>
      </c>
      <c r="H1595" s="214">
        <v>8433.5</v>
      </c>
      <c r="I1595" s="425" t="e">
        <v>#N/A</v>
      </c>
      <c r="J1595" s="91">
        <v>797.85063000000002</v>
      </c>
      <c r="K1595" s="425">
        <v>73762.430940000006</v>
      </c>
      <c r="L1595" s="542" t="s">
        <v>622</v>
      </c>
    </row>
    <row r="1596" spans="1:12" ht="15">
      <c r="A1596">
        <v>198521</v>
      </c>
      <c r="B1596" t="str">
        <f t="shared" si="66"/>
        <v>SEVROLL zakázka Škandera RAL 1015 mat</v>
      </c>
      <c r="C1596" s="209" t="e">
        <f t="shared" si="67"/>
        <v>#N/A</v>
      </c>
      <c r="D1596" t="s">
        <v>5344</v>
      </c>
      <c r="E1596" t="s">
        <v>6429</v>
      </c>
      <c r="F1596" t="s">
        <v>5344</v>
      </c>
      <c r="G1596" t="s">
        <v>7579</v>
      </c>
      <c r="H1596" s="214">
        <v>0</v>
      </c>
      <c r="I1596" s="425" t="e">
        <v>#N/A</v>
      </c>
      <c r="J1596" s="91">
        <v>0</v>
      </c>
      <c r="K1596" s="425">
        <v>0</v>
      </c>
      <c r="L1596" s="542" t="s">
        <v>622</v>
      </c>
    </row>
    <row r="1597" spans="1:12" ht="15">
      <c r="A1597">
        <v>198676</v>
      </c>
      <c r="B1597" t="str">
        <f t="shared" si="66"/>
        <v>Sevroll zakázka Hanus RAL 9023 lesk</v>
      </c>
      <c r="C1597" s="209" t="e">
        <f t="shared" si="67"/>
        <v>#N/A</v>
      </c>
      <c r="D1597" t="s">
        <v>5345</v>
      </c>
      <c r="E1597" t="s">
        <v>6430</v>
      </c>
      <c r="F1597" t="s">
        <v>5345</v>
      </c>
      <c r="G1597" t="s">
        <v>7580</v>
      </c>
      <c r="H1597" s="214">
        <v>0</v>
      </c>
      <c r="I1597" s="425" t="e">
        <v>#N/A</v>
      </c>
      <c r="J1597" s="91">
        <v>0</v>
      </c>
      <c r="K1597" s="425">
        <v>0</v>
      </c>
      <c r="L1597" s="542" t="s">
        <v>622</v>
      </c>
    </row>
    <row r="1598" spans="1:12" ht="15">
      <c r="A1598">
        <v>252977</v>
      </c>
      <c r="B1598" t="e">
        <f t="shared" si="66"/>
        <v>#N/A</v>
      </c>
      <c r="C1598" s="209" t="e">
        <f t="shared" si="67"/>
        <v>#N/A</v>
      </c>
      <c r="D1598" t="s">
        <v>5346</v>
      </c>
      <c r="E1598" t="e">
        <v>#N/A</v>
      </c>
      <c r="F1598" t="e">
        <v>#N/A</v>
      </c>
      <c r="G1598" t="e">
        <v>#N/A</v>
      </c>
      <c r="H1598" s="214">
        <v>3091.9158000000002</v>
      </c>
      <c r="I1598" s="425" t="e">
        <v>#N/A</v>
      </c>
      <c r="J1598" s="91">
        <v>353.24000999999998</v>
      </c>
      <c r="K1598" s="425">
        <v>31706.353589999999</v>
      </c>
      <c r="L1598" s="542" t="s">
        <v>622</v>
      </c>
    </row>
    <row r="1599" spans="1:12" ht="15">
      <c r="A1599">
        <v>253054</v>
      </c>
      <c r="B1599" t="e">
        <f t="shared" ref="B1599:B1659" si="68">IF($A$2=1,D1599,IF($A$2=2,F1599,IF($A$2=3,G1599,IF($A$2=4,E1599,"zadat jazyk"))))</f>
        <v>#N/A</v>
      </c>
      <c r="C1599" s="209" t="e">
        <f t="shared" ref="C1599:C1659" si="69">IF($A$2=1,H1599,IF($A$2=2,I1599,IF($A$2=3,J1599,IF($A$2=4,K1599,"zadat jazyk"))))</f>
        <v>#N/A</v>
      </c>
      <c r="D1599" t="s">
        <v>5347</v>
      </c>
      <c r="E1599" t="e">
        <v>#N/A</v>
      </c>
      <c r="F1599" t="e">
        <v>#N/A</v>
      </c>
      <c r="G1599" t="e">
        <v>#N/A</v>
      </c>
      <c r="H1599" s="214">
        <v>448.29978</v>
      </c>
      <c r="I1599" s="425" t="e">
        <v>#N/A</v>
      </c>
      <c r="J1599" s="91">
        <v>83.720709999999997</v>
      </c>
      <c r="K1599" s="425">
        <v>6546.6782899999998</v>
      </c>
      <c r="L1599" s="542" t="s">
        <v>622</v>
      </c>
    </row>
    <row r="1600" spans="1:12" ht="15">
      <c r="A1600">
        <v>253055</v>
      </c>
      <c r="B1600" t="e">
        <f t="shared" si="68"/>
        <v>#N/A</v>
      </c>
      <c r="C1600" s="209" t="e">
        <f t="shared" si="69"/>
        <v>#N/A</v>
      </c>
      <c r="D1600" t="s">
        <v>5348</v>
      </c>
      <c r="E1600" t="e">
        <v>#N/A</v>
      </c>
      <c r="F1600" t="e">
        <v>#N/A</v>
      </c>
      <c r="G1600" t="e">
        <v>#N/A</v>
      </c>
      <c r="H1600" s="214">
        <v>155.72519</v>
      </c>
      <c r="I1600" s="425" t="e">
        <v>#N/A</v>
      </c>
      <c r="J1600" s="91">
        <v>29.08193</v>
      </c>
      <c r="K1600" s="425">
        <v>2274.1093000000001</v>
      </c>
      <c r="L1600" s="542" t="s">
        <v>622</v>
      </c>
    </row>
    <row r="1601" spans="1:12" ht="15">
      <c r="A1601">
        <v>253056</v>
      </c>
      <c r="B1601" t="e">
        <f t="shared" si="68"/>
        <v>#N/A</v>
      </c>
      <c r="C1601" s="209" t="e">
        <f t="shared" si="69"/>
        <v>#N/A</v>
      </c>
      <c r="D1601" t="s">
        <v>5349</v>
      </c>
      <c r="E1601" t="e">
        <v>#N/A</v>
      </c>
      <c r="F1601" t="e">
        <v>#N/A</v>
      </c>
      <c r="G1601" t="e">
        <v>#N/A</v>
      </c>
      <c r="H1601" s="214">
        <v>693.68492000000003</v>
      </c>
      <c r="I1601" s="425" t="e">
        <v>#N/A</v>
      </c>
      <c r="J1601" s="91">
        <v>129.54678000000001</v>
      </c>
      <c r="K1601" s="425">
        <v>10130.123219999999</v>
      </c>
      <c r="L1601" s="542" t="s">
        <v>622</v>
      </c>
    </row>
    <row r="1602" spans="1:12" ht="15">
      <c r="A1602">
        <v>253058</v>
      </c>
      <c r="B1602" t="e">
        <f t="shared" si="68"/>
        <v>#N/A</v>
      </c>
      <c r="C1602" s="209" t="e">
        <f t="shared" si="69"/>
        <v>#N/A</v>
      </c>
      <c r="D1602" t="s">
        <v>5350</v>
      </c>
      <c r="E1602" t="e">
        <v>#N/A</v>
      </c>
      <c r="F1602" t="e">
        <v>#N/A</v>
      </c>
      <c r="G1602" t="e">
        <v>#N/A</v>
      </c>
      <c r="H1602" s="214">
        <v>91.682360000000003</v>
      </c>
      <c r="I1602" s="425" t="e">
        <v>#N/A</v>
      </c>
      <c r="J1602" s="91">
        <v>17.121829999999999</v>
      </c>
      <c r="K1602" s="425">
        <v>1338.8695499999999</v>
      </c>
      <c r="L1602" s="542" t="s">
        <v>622</v>
      </c>
    </row>
    <row r="1603" spans="1:12" ht="15">
      <c r="A1603">
        <v>253060</v>
      </c>
      <c r="B1603" t="e">
        <f t="shared" si="68"/>
        <v>#N/A</v>
      </c>
      <c r="C1603" s="209" t="e">
        <f t="shared" si="69"/>
        <v>#N/A</v>
      </c>
      <c r="D1603" t="s">
        <v>5351</v>
      </c>
      <c r="E1603" t="e">
        <v>#N/A</v>
      </c>
      <c r="F1603" t="e">
        <v>#N/A</v>
      </c>
      <c r="G1603" t="e">
        <v>#N/A</v>
      </c>
      <c r="H1603" s="214">
        <v>137.52354</v>
      </c>
      <c r="I1603" s="425" t="e">
        <v>#N/A</v>
      </c>
      <c r="J1603" s="91">
        <v>25.682739999999999</v>
      </c>
      <c r="K1603" s="425">
        <v>2008.30432</v>
      </c>
      <c r="L1603" s="542" t="s">
        <v>622</v>
      </c>
    </row>
    <row r="1604" spans="1:12" ht="15">
      <c r="A1604">
        <v>253062</v>
      </c>
      <c r="B1604" t="e">
        <f t="shared" si="68"/>
        <v>#N/A</v>
      </c>
      <c r="C1604" s="209" t="e">
        <f t="shared" si="69"/>
        <v>#N/A</v>
      </c>
      <c r="D1604" t="s">
        <v>5352</v>
      </c>
      <c r="E1604" t="e">
        <v>#N/A</v>
      </c>
      <c r="F1604" t="e">
        <v>#N/A</v>
      </c>
      <c r="G1604" t="e">
        <v>#N/A</v>
      </c>
      <c r="H1604" s="214">
        <v>285.83323999999999</v>
      </c>
      <c r="I1604" s="425" t="e">
        <v>#N/A</v>
      </c>
      <c r="J1604" s="91">
        <v>53.379820000000002</v>
      </c>
      <c r="K1604" s="425">
        <v>4174.1226900000001</v>
      </c>
      <c r="L1604" s="542" t="s">
        <v>622</v>
      </c>
    </row>
    <row r="1605" spans="1:12" ht="15">
      <c r="A1605">
        <v>253722</v>
      </c>
      <c r="B1605" t="str">
        <f t="shared" si="68"/>
        <v>Sevroll Prosper úchytová lišta 2,7m RAL9003</v>
      </c>
      <c r="C1605" s="209" t="e">
        <f t="shared" si="69"/>
        <v>#N/A</v>
      </c>
      <c r="D1605" t="s">
        <v>5353</v>
      </c>
      <c r="E1605" t="s">
        <v>6431</v>
      </c>
      <c r="F1605" t="s">
        <v>7024</v>
      </c>
      <c r="G1605" t="s">
        <v>7581</v>
      </c>
      <c r="H1605" s="214">
        <v>0</v>
      </c>
      <c r="I1605" s="425" t="e">
        <v>#N/A</v>
      </c>
      <c r="J1605" s="91">
        <v>0</v>
      </c>
      <c r="K1605" s="425">
        <v>0</v>
      </c>
      <c r="L1605" s="542" t="s">
        <v>622</v>
      </c>
    </row>
    <row r="1606" spans="1:12" ht="15">
      <c r="A1606">
        <v>253726</v>
      </c>
      <c r="B1606" t="str">
        <f t="shared" si="68"/>
        <v>Sevroll Maxim horné vedenie 1,8m RAL9003 les</v>
      </c>
      <c r="C1606" s="209" t="e">
        <f t="shared" si="69"/>
        <v>#N/A</v>
      </c>
      <c r="D1606" t="s">
        <v>5354</v>
      </c>
      <c r="E1606" t="s">
        <v>6432</v>
      </c>
      <c r="F1606" t="s">
        <v>7025</v>
      </c>
      <c r="G1606" t="s">
        <v>7582</v>
      </c>
      <c r="H1606" s="214">
        <v>0</v>
      </c>
      <c r="I1606" s="425" t="e">
        <v>#N/A</v>
      </c>
      <c r="J1606" s="91">
        <v>0</v>
      </c>
      <c r="K1606" s="425">
        <v>0</v>
      </c>
      <c r="L1606" s="542" t="s">
        <v>622</v>
      </c>
    </row>
    <row r="1607" spans="1:12" ht="15">
      <c r="A1607">
        <v>253727</v>
      </c>
      <c r="B1607" t="str">
        <f t="shared" si="68"/>
        <v>Sevroll Maxim II sp.vedenie 1,8m RAL9003 les</v>
      </c>
      <c r="C1607" s="209" t="e">
        <f t="shared" si="69"/>
        <v>#N/A</v>
      </c>
      <c r="D1607" t="s">
        <v>5355</v>
      </c>
      <c r="E1607" t="s">
        <v>6433</v>
      </c>
      <c r="F1607" t="s">
        <v>7026</v>
      </c>
      <c r="G1607" t="s">
        <v>7583</v>
      </c>
      <c r="H1607" s="214">
        <v>0</v>
      </c>
      <c r="I1607" s="425" t="e">
        <v>#N/A</v>
      </c>
      <c r="J1607" s="91">
        <v>0</v>
      </c>
      <c r="K1607" s="425">
        <v>0</v>
      </c>
      <c r="L1607" s="542" t="s">
        <v>622</v>
      </c>
    </row>
    <row r="1608" spans="1:12" ht="15">
      <c r="A1608">
        <v>253728</v>
      </c>
      <c r="B1608" t="str">
        <f t="shared" si="68"/>
        <v>Sevroll Maxim II maska 1,8m RAL9003 lesk</v>
      </c>
      <c r="C1608" s="209" t="e">
        <f t="shared" si="69"/>
        <v>#N/A</v>
      </c>
      <c r="D1608" t="s">
        <v>5356</v>
      </c>
      <c r="E1608" t="s">
        <v>6434</v>
      </c>
      <c r="F1608" t="s">
        <v>5356</v>
      </c>
      <c r="G1608" t="s">
        <v>7584</v>
      </c>
      <c r="H1608" s="214">
        <v>0</v>
      </c>
      <c r="I1608" s="425" t="e">
        <v>#N/A</v>
      </c>
      <c r="J1608" s="91">
        <v>0</v>
      </c>
      <c r="K1608" s="425">
        <v>0</v>
      </c>
      <c r="L1608" s="542" t="s">
        <v>622</v>
      </c>
    </row>
    <row r="1609" spans="1:12" ht="15">
      <c r="A1609">
        <v>253729</v>
      </c>
      <c r="B1609" t="str">
        <f t="shared" si="68"/>
        <v>Sevroll Maxim vod.lišta 1,8m RAL9003 lesk</v>
      </c>
      <c r="C1609" s="209" t="e">
        <f t="shared" si="69"/>
        <v>#N/A</v>
      </c>
      <c r="D1609" t="s">
        <v>5357</v>
      </c>
      <c r="E1609" t="s">
        <v>6435</v>
      </c>
      <c r="F1609" t="s">
        <v>7027</v>
      </c>
      <c r="G1609" t="s">
        <v>7585</v>
      </c>
      <c r="H1609" s="214">
        <v>0</v>
      </c>
      <c r="I1609" s="425" t="e">
        <v>#N/A</v>
      </c>
      <c r="J1609" s="91">
        <v>0</v>
      </c>
      <c r="K1609" s="425">
        <v>0</v>
      </c>
      <c r="L1609" s="542" t="s">
        <v>622</v>
      </c>
    </row>
    <row r="1610" spans="1:12" ht="15">
      <c r="A1610">
        <v>253741</v>
      </c>
      <c r="B1610" t="str">
        <f t="shared" si="68"/>
        <v>Sevroll Maxim sp.kry.lišta 1,8m RAL9003 lesk</v>
      </c>
      <c r="C1610" s="209" t="e">
        <f t="shared" si="69"/>
        <v>#N/A</v>
      </c>
      <c r="D1610" t="s">
        <v>5358</v>
      </c>
      <c r="E1610" t="s">
        <v>6436</v>
      </c>
      <c r="F1610" t="s">
        <v>7028</v>
      </c>
      <c r="G1610" t="s">
        <v>7586</v>
      </c>
      <c r="H1610" s="214">
        <v>0</v>
      </c>
      <c r="I1610" s="425" t="e">
        <v>#N/A</v>
      </c>
      <c r="J1610" s="91">
        <v>0</v>
      </c>
      <c r="K1610" s="425">
        <v>0</v>
      </c>
      <c r="L1610" s="542" t="s">
        <v>622</v>
      </c>
    </row>
    <row r="1611" spans="1:12" ht="15">
      <c r="A1611">
        <v>254151</v>
      </c>
      <c r="B1611" t="e">
        <f t="shared" si="68"/>
        <v>#N/A</v>
      </c>
      <c r="C1611" s="209" t="e">
        <f t="shared" si="69"/>
        <v>#N/A</v>
      </c>
      <c r="D1611" t="s">
        <v>5359</v>
      </c>
      <c r="E1611" t="e">
        <v>#N/A</v>
      </c>
      <c r="F1611" t="e">
        <v>#N/A</v>
      </c>
      <c r="G1611" t="e">
        <v>#N/A</v>
      </c>
      <c r="H1611" s="214">
        <v>256.17129999999997</v>
      </c>
      <c r="I1611" s="425" t="e">
        <v>#N/A</v>
      </c>
      <c r="J1611" s="91">
        <v>47.840409999999999</v>
      </c>
      <c r="K1611" s="425">
        <v>3740.95901</v>
      </c>
      <c r="L1611" s="542" t="s">
        <v>622</v>
      </c>
    </row>
    <row r="1612" spans="1:12" ht="15">
      <c r="A1612">
        <v>369700</v>
      </c>
      <c r="B1612" t="e">
        <f t="shared" si="68"/>
        <v>#N/A</v>
      </c>
      <c r="C1612" s="209" t="e">
        <f t="shared" si="69"/>
        <v>#N/A</v>
      </c>
      <c r="D1612" t="s">
        <v>5360</v>
      </c>
      <c r="E1612" t="e">
        <v>#N/A</v>
      </c>
      <c r="F1612" t="e">
        <v>#N/A</v>
      </c>
      <c r="G1612" t="e">
        <v>#N/A</v>
      </c>
      <c r="H1612" s="214">
        <v>5.4</v>
      </c>
      <c r="I1612" s="425" t="e">
        <v>#N/A</v>
      </c>
      <c r="J1612" s="91">
        <v>0.92469000000000001</v>
      </c>
      <c r="K1612" s="425">
        <v>67.647980000000004</v>
      </c>
      <c r="L1612" s="542" t="s">
        <v>622</v>
      </c>
    </row>
    <row r="1613" spans="1:12" ht="15">
      <c r="A1613">
        <v>369847</v>
      </c>
      <c r="B1613" t="str">
        <f t="shared" si="68"/>
        <v>SEVROLL profil "U" Mini 36 na DTD 2x18mm strieborná 3m</v>
      </c>
      <c r="C1613" s="209">
        <f t="shared" si="69"/>
        <v>0</v>
      </c>
      <c r="D1613" t="s">
        <v>5361</v>
      </c>
      <c r="E1613" t="s">
        <v>6437</v>
      </c>
      <c r="F1613" t="s">
        <v>7029</v>
      </c>
      <c r="G1613" t="s">
        <v>7587</v>
      </c>
      <c r="H1613" s="214">
        <v>189.30688000000001</v>
      </c>
      <c r="I1613" s="425">
        <v>0</v>
      </c>
      <c r="J1613" s="91">
        <v>24.342490000000002</v>
      </c>
      <c r="K1613" s="425">
        <v>2144.90056</v>
      </c>
      <c r="L1613" s="542" t="s">
        <v>622</v>
      </c>
    </row>
    <row r="1614" spans="1:12" ht="15">
      <c r="A1614">
        <v>369913</v>
      </c>
      <c r="B1614" t="e">
        <f t="shared" si="68"/>
        <v>#N/A</v>
      </c>
      <c r="C1614" s="209" t="e">
        <f t="shared" si="69"/>
        <v>#N/A</v>
      </c>
      <c r="D1614" t="s">
        <v>5362</v>
      </c>
      <c r="E1614" t="e">
        <v>#N/A</v>
      </c>
      <c r="F1614" t="e">
        <v>#N/A</v>
      </c>
      <c r="G1614" t="e">
        <v>#N/A</v>
      </c>
      <c r="H1614" s="214">
        <v>128.10239999999999</v>
      </c>
      <c r="I1614" s="425" t="e">
        <v>#N/A</v>
      </c>
      <c r="J1614" s="91">
        <v>21.935970000000001</v>
      </c>
      <c r="K1614" s="425">
        <v>1604.7904900000001</v>
      </c>
      <c r="L1614" s="542" t="s">
        <v>622</v>
      </c>
    </row>
    <row r="1615" spans="1:12" ht="15">
      <c r="A1615">
        <v>369914</v>
      </c>
      <c r="B1615" t="e">
        <f t="shared" si="68"/>
        <v>#N/A</v>
      </c>
      <c r="C1615" s="209" t="e">
        <f t="shared" si="69"/>
        <v>#N/A</v>
      </c>
      <c r="D1615" t="s">
        <v>5363</v>
      </c>
      <c r="E1615" t="e">
        <v>#N/A</v>
      </c>
      <c r="F1615" t="e">
        <v>#N/A</v>
      </c>
      <c r="G1615" t="e">
        <v>#N/A</v>
      </c>
      <c r="H1615" s="214">
        <v>13.077120000000001</v>
      </c>
      <c r="I1615" s="425" t="e">
        <v>#N/A</v>
      </c>
      <c r="J1615" s="91">
        <v>2.23929</v>
      </c>
      <c r="K1615" s="425">
        <v>163.82228000000001</v>
      </c>
      <c r="L1615" s="542" t="s">
        <v>622</v>
      </c>
    </row>
    <row r="1616" spans="1:12" ht="15">
      <c r="A1616">
        <v>369915</v>
      </c>
      <c r="B1616" t="e">
        <f t="shared" si="68"/>
        <v>#N/A</v>
      </c>
      <c r="C1616" s="209" t="e">
        <f t="shared" si="69"/>
        <v>#N/A</v>
      </c>
      <c r="D1616" t="s">
        <v>5364</v>
      </c>
      <c r="E1616" t="e">
        <v>#N/A</v>
      </c>
      <c r="F1616" t="e">
        <v>#N/A</v>
      </c>
      <c r="G1616" t="e">
        <v>#N/A</v>
      </c>
      <c r="H1616" s="214">
        <v>13.077120000000001</v>
      </c>
      <c r="I1616" s="425" t="e">
        <v>#N/A</v>
      </c>
      <c r="J1616" s="91">
        <v>2.23929</v>
      </c>
      <c r="K1616" s="425">
        <v>163.82228000000001</v>
      </c>
      <c r="L1616" s="542" t="s">
        <v>622</v>
      </c>
    </row>
    <row r="1617" spans="1:12" ht="15">
      <c r="A1617">
        <v>369918</v>
      </c>
      <c r="B1617" t="e">
        <f t="shared" si="68"/>
        <v>#N/A</v>
      </c>
      <c r="C1617" s="209" t="e">
        <f t="shared" si="69"/>
        <v>#N/A</v>
      </c>
      <c r="D1617" t="s">
        <v>5365</v>
      </c>
      <c r="E1617" t="e">
        <v>#N/A</v>
      </c>
      <c r="F1617" t="e">
        <v>#N/A</v>
      </c>
      <c r="G1617" t="e">
        <v>#N/A</v>
      </c>
      <c r="H1617" s="214">
        <v>5.1374399999999998</v>
      </c>
      <c r="I1617" s="425" t="e">
        <v>#N/A</v>
      </c>
      <c r="J1617" s="91">
        <v>0.87973000000000001</v>
      </c>
      <c r="K1617" s="425">
        <v>64.358760000000004</v>
      </c>
      <c r="L1617" s="542" t="s">
        <v>622</v>
      </c>
    </row>
    <row r="1618" spans="1:12" ht="15">
      <c r="A1618">
        <v>369982</v>
      </c>
      <c r="B1618" t="e">
        <f t="shared" si="68"/>
        <v>#N/A</v>
      </c>
      <c r="C1618" s="209" t="e">
        <f t="shared" si="69"/>
        <v>#N/A</v>
      </c>
      <c r="D1618" t="s">
        <v>5366</v>
      </c>
      <c r="E1618" t="e">
        <v>#N/A</v>
      </c>
      <c r="F1618" t="e">
        <v>#N/A</v>
      </c>
      <c r="G1618" t="e">
        <v>#N/A</v>
      </c>
      <c r="H1618" s="214">
        <v>599</v>
      </c>
      <c r="I1618" s="425" t="e">
        <v>#N/A</v>
      </c>
      <c r="J1618" s="91">
        <v>31.73789</v>
      </c>
      <c r="K1618" s="425">
        <v>2456.9182099999998</v>
      </c>
      <c r="L1618" s="542" t="s">
        <v>622</v>
      </c>
    </row>
    <row r="1619" spans="1:12" ht="15">
      <c r="A1619">
        <v>398096</v>
      </c>
      <c r="B1619" t="str">
        <f t="shared" si="68"/>
        <v>SEVROLL Gemini horné vedenie 2,35 čierna lesk</v>
      </c>
      <c r="C1619" s="209">
        <f t="shared" si="69"/>
        <v>29.503299999999999</v>
      </c>
      <c r="D1619" t="s">
        <v>5367</v>
      </c>
      <c r="E1619" t="s">
        <v>6438</v>
      </c>
      <c r="F1619" t="s">
        <v>7030</v>
      </c>
      <c r="G1619" t="s">
        <v>7588</v>
      </c>
      <c r="H1619" s="214">
        <v>757.22752000000003</v>
      </c>
      <c r="I1619" s="425">
        <v>29.503299999999999</v>
      </c>
      <c r="J1619" s="91">
        <v>105.78</v>
      </c>
      <c r="K1619" s="425">
        <v>8579.6022099999991</v>
      </c>
      <c r="L1619" s="542" t="s">
        <v>621</v>
      </c>
    </row>
    <row r="1620" spans="1:12" ht="15">
      <c r="A1620">
        <v>398188</v>
      </c>
      <c r="B1620" t="str">
        <f t="shared" si="68"/>
        <v>SEVROLL Elegant spod.ved. 2,35m čierna lesk</v>
      </c>
      <c r="C1620" s="209">
        <f t="shared" si="69"/>
        <v>16.270199999999999</v>
      </c>
      <c r="D1620" t="s">
        <v>5368</v>
      </c>
      <c r="E1620" t="s">
        <v>6439</v>
      </c>
      <c r="F1620" t="s">
        <v>7031</v>
      </c>
      <c r="G1620" t="s">
        <v>7589</v>
      </c>
      <c r="H1620" s="214">
        <v>436.97152</v>
      </c>
      <c r="I1620" s="425">
        <v>16.270199999999999</v>
      </c>
      <c r="J1620" s="91">
        <v>57.64</v>
      </c>
      <c r="K1620" s="425">
        <v>4951.0110500000001</v>
      </c>
      <c r="L1620" s="542" t="s">
        <v>621</v>
      </c>
    </row>
    <row r="1621" spans="1:12" ht="15">
      <c r="A1621">
        <v>398553</v>
      </c>
      <c r="B1621" t="str">
        <f t="shared" si="68"/>
        <v>SEVROLL maska Elegant II 2,35m čierna lesk</v>
      </c>
      <c r="C1621" s="209">
        <f t="shared" si="69"/>
        <v>5.2305700000000002</v>
      </c>
      <c r="D1621" t="s">
        <v>5369</v>
      </c>
      <c r="E1621" t="s">
        <v>6440</v>
      </c>
      <c r="F1621" t="s">
        <v>7032</v>
      </c>
      <c r="G1621" t="s">
        <v>7590</v>
      </c>
      <c r="H1621" s="214">
        <v>145.18271999999999</v>
      </c>
      <c r="I1621" s="425">
        <v>5.2305700000000002</v>
      </c>
      <c r="J1621" s="91">
        <v>17.3</v>
      </c>
      <c r="K1621" s="425">
        <v>1644.9613300000001</v>
      </c>
      <c r="L1621" s="542" t="s">
        <v>621</v>
      </c>
    </row>
    <row r="1622" spans="1:12" ht="15">
      <c r="A1622">
        <v>398929</v>
      </c>
      <c r="B1622" t="e">
        <f t="shared" si="68"/>
        <v>#N/A</v>
      </c>
      <c r="C1622" s="209" t="e">
        <f t="shared" si="69"/>
        <v>#N/A</v>
      </c>
      <c r="D1622" t="s">
        <v>5370</v>
      </c>
      <c r="E1622" t="e">
        <v>#N/A</v>
      </c>
      <c r="F1622" t="e">
        <v>#N/A</v>
      </c>
      <c r="G1622" t="e">
        <v>#N/A</v>
      </c>
      <c r="H1622" s="214">
        <v>731.41017999999997</v>
      </c>
      <c r="I1622" s="425" t="e">
        <v>#N/A</v>
      </c>
      <c r="J1622" s="91">
        <v>91.352940000000004</v>
      </c>
      <c r="K1622" s="425">
        <v>7340.6489099999999</v>
      </c>
      <c r="L1622" s="542" t="s">
        <v>621</v>
      </c>
    </row>
    <row r="1623" spans="1:12" ht="15">
      <c r="A1623">
        <v>398930</v>
      </c>
      <c r="B1623" t="e">
        <f t="shared" si="68"/>
        <v>#N/A</v>
      </c>
      <c r="C1623" s="209" t="e">
        <f t="shared" si="69"/>
        <v>#N/A</v>
      </c>
      <c r="D1623" t="s">
        <v>5371</v>
      </c>
      <c r="E1623" t="e">
        <v>#N/A</v>
      </c>
      <c r="F1623" t="e">
        <v>#N/A</v>
      </c>
      <c r="G1623" t="e">
        <v>#N/A</v>
      </c>
      <c r="H1623" s="214">
        <v>0</v>
      </c>
      <c r="I1623" s="425" t="e">
        <v>#N/A</v>
      </c>
      <c r="J1623" s="91">
        <v>0</v>
      </c>
      <c r="K1623" s="425">
        <v>0</v>
      </c>
      <c r="L1623" s="542" t="s">
        <v>621</v>
      </c>
    </row>
    <row r="1624" spans="1:12" ht="15">
      <c r="A1624">
        <v>399106</v>
      </c>
      <c r="B1624" t="str">
        <f t="shared" si="68"/>
        <v/>
      </c>
      <c r="C1624" s="209">
        <f t="shared" si="69"/>
        <v>14.968579999999999</v>
      </c>
      <c r="D1624" t="s">
        <v>5372</v>
      </c>
      <c r="E1624" t="s">
        <v>6441</v>
      </c>
      <c r="F1624" t="s">
        <v>84</v>
      </c>
      <c r="G1624" t="s">
        <v>84</v>
      </c>
      <c r="H1624" s="214">
        <v>445.51168000000001</v>
      </c>
      <c r="I1624" s="425">
        <v>14.968579999999999</v>
      </c>
      <c r="J1624" s="91">
        <v>52.65</v>
      </c>
      <c r="K1624" s="425">
        <v>5047.7734899999996</v>
      </c>
      <c r="L1624" s="542" t="s">
        <v>622</v>
      </c>
    </row>
    <row r="1625" spans="1:12" ht="15">
      <c r="A1625">
        <v>399178</v>
      </c>
      <c r="B1625" t="str">
        <f t="shared" si="68"/>
        <v/>
      </c>
      <c r="C1625" s="209">
        <f t="shared" si="69"/>
        <v>9.3523499999999995</v>
      </c>
      <c r="D1625" t="s">
        <v>5373</v>
      </c>
      <c r="E1625" t="s">
        <v>6442</v>
      </c>
      <c r="F1625" t="s">
        <v>84</v>
      </c>
      <c r="G1625" t="s">
        <v>7591</v>
      </c>
      <c r="H1625" s="214">
        <v>246.73056</v>
      </c>
      <c r="I1625" s="425">
        <v>9.3523499999999995</v>
      </c>
      <c r="J1625" s="91">
        <v>28.41</v>
      </c>
      <c r="K1625" s="425">
        <v>2773.8563600000002</v>
      </c>
      <c r="L1625" s="542" t="s">
        <v>621</v>
      </c>
    </row>
    <row r="1626" spans="1:12" ht="15">
      <c r="A1626">
        <v>399179</v>
      </c>
      <c r="B1626" t="str">
        <f t="shared" si="68"/>
        <v/>
      </c>
      <c r="C1626" s="209">
        <f t="shared" si="69"/>
        <v>26.779540000000001</v>
      </c>
      <c r="D1626" t="s">
        <v>5374</v>
      </c>
      <c r="E1626" t="s">
        <v>6443</v>
      </c>
      <c r="F1626" t="s">
        <v>84</v>
      </c>
      <c r="G1626" t="s">
        <v>7592</v>
      </c>
      <c r="H1626" s="214">
        <v>720.10896000000002</v>
      </c>
      <c r="I1626" s="425">
        <v>26.779540000000001</v>
      </c>
      <c r="J1626" s="91">
        <v>82.93</v>
      </c>
      <c r="K1626" s="425">
        <v>8095.7900499999996</v>
      </c>
      <c r="L1626" s="542" t="s">
        <v>621</v>
      </c>
    </row>
    <row r="1627" spans="1:12" ht="15">
      <c r="A1627">
        <v>399180</v>
      </c>
      <c r="B1627" t="str">
        <f t="shared" si="68"/>
        <v/>
      </c>
      <c r="C1627" s="209">
        <f t="shared" si="69"/>
        <v>0</v>
      </c>
      <c r="D1627" t="s">
        <v>5375</v>
      </c>
      <c r="E1627" t="s">
        <v>6444</v>
      </c>
      <c r="F1627" t="s">
        <v>84</v>
      </c>
      <c r="G1627" t="s">
        <v>7593</v>
      </c>
      <c r="H1627" s="214">
        <v>0</v>
      </c>
      <c r="I1627" s="425">
        <v>0</v>
      </c>
      <c r="J1627" s="91">
        <v>0</v>
      </c>
      <c r="K1627" s="425">
        <v>0</v>
      </c>
      <c r="L1627" s="542" t="s">
        <v>621</v>
      </c>
    </row>
    <row r="1628" spans="1:12" ht="15">
      <c r="A1628">
        <v>399695</v>
      </c>
      <c r="B1628" t="str">
        <f t="shared" si="68"/>
        <v/>
      </c>
      <c r="C1628" s="209">
        <f t="shared" si="69"/>
        <v>41.675820000000002</v>
      </c>
      <c r="D1628" t="s">
        <v>5376</v>
      </c>
      <c r="E1628" t="s">
        <v>6445</v>
      </c>
      <c r="F1628" t="s">
        <v>84</v>
      </c>
      <c r="G1628" t="s">
        <v>84</v>
      </c>
      <c r="H1628" s="214">
        <v>1093.07376</v>
      </c>
      <c r="I1628" s="425">
        <v>41.675820000000002</v>
      </c>
      <c r="J1628" s="91">
        <v>125.88</v>
      </c>
      <c r="K1628" s="425">
        <v>12288.82872</v>
      </c>
      <c r="L1628" s="542" t="s">
        <v>622</v>
      </c>
    </row>
    <row r="1629" spans="1:12" ht="15">
      <c r="A1629">
        <v>399696</v>
      </c>
      <c r="B1629" t="str">
        <f t="shared" si="68"/>
        <v/>
      </c>
      <c r="C1629" s="209">
        <f t="shared" si="69"/>
        <v>54.667870000000001</v>
      </c>
      <c r="D1629" t="s">
        <v>5377</v>
      </c>
      <c r="E1629" t="s">
        <v>6446</v>
      </c>
      <c r="F1629" t="s">
        <v>84</v>
      </c>
      <c r="G1629" t="s">
        <v>84</v>
      </c>
      <c r="H1629" s="214">
        <v>1334.0663999999999</v>
      </c>
      <c r="I1629" s="425">
        <v>54.667870000000001</v>
      </c>
      <c r="J1629" s="91">
        <v>153.63999999999999</v>
      </c>
      <c r="K1629" s="425">
        <v>14998.176799999999</v>
      </c>
      <c r="L1629" s="542" t="s">
        <v>622</v>
      </c>
    </row>
    <row r="1630" spans="1:12" ht="15">
      <c r="A1630">
        <v>399705</v>
      </c>
      <c r="B1630" t="str">
        <f t="shared" si="68"/>
        <v/>
      </c>
      <c r="C1630" s="209">
        <f t="shared" si="69"/>
        <v>68.310739999999996</v>
      </c>
      <c r="D1630" t="s">
        <v>5378</v>
      </c>
      <c r="E1630" t="s">
        <v>6447</v>
      </c>
      <c r="F1630" t="s">
        <v>84</v>
      </c>
      <c r="G1630" t="s">
        <v>84</v>
      </c>
      <c r="H1630" s="214">
        <v>1666.8657599999999</v>
      </c>
      <c r="I1630" s="425">
        <v>68.310739999999996</v>
      </c>
      <c r="J1630" s="91">
        <v>191.96</v>
      </c>
      <c r="K1630" s="425">
        <v>18739.657459999999</v>
      </c>
      <c r="L1630" s="542" t="s">
        <v>622</v>
      </c>
    </row>
    <row r="1631" spans="1:12" ht="15">
      <c r="A1631">
        <v>355738</v>
      </c>
      <c r="B1631" t="str">
        <f t="shared" si="68"/>
        <v/>
      </c>
      <c r="C1631" s="209" t="e">
        <f t="shared" si="69"/>
        <v>#N/A</v>
      </c>
      <c r="D1631" t="s">
        <v>5379</v>
      </c>
      <c r="E1631" t="s">
        <v>6448</v>
      </c>
      <c r="F1631" t="s">
        <v>84</v>
      </c>
      <c r="G1631" t="s">
        <v>7594</v>
      </c>
      <c r="H1631" s="214">
        <v>0</v>
      </c>
      <c r="I1631" s="425" t="e">
        <v>#N/A</v>
      </c>
      <c r="J1631" s="91">
        <v>0</v>
      </c>
      <c r="K1631" s="425">
        <v>0</v>
      </c>
      <c r="L1631" s="542" t="s">
        <v>622</v>
      </c>
    </row>
    <row r="1632" spans="1:12" ht="15">
      <c r="A1632">
        <v>355740</v>
      </c>
      <c r="B1632" t="str">
        <f t="shared" si="68"/>
        <v/>
      </c>
      <c r="C1632" s="209" t="e">
        <f t="shared" si="69"/>
        <v>#N/A</v>
      </c>
      <c r="D1632" t="s">
        <v>5380</v>
      </c>
      <c r="E1632" t="s">
        <v>6449</v>
      </c>
      <c r="F1632" t="s">
        <v>84</v>
      </c>
      <c r="G1632" t="s">
        <v>7448</v>
      </c>
      <c r="H1632" s="214">
        <v>0</v>
      </c>
      <c r="I1632" s="425" t="e">
        <v>#N/A</v>
      </c>
      <c r="J1632" s="91">
        <v>0</v>
      </c>
      <c r="K1632" s="425">
        <v>0</v>
      </c>
      <c r="L1632" s="542" t="s">
        <v>622</v>
      </c>
    </row>
    <row r="1633" spans="1:12" ht="15">
      <c r="A1633">
        <v>355743</v>
      </c>
      <c r="B1633" t="str">
        <f t="shared" si="68"/>
        <v/>
      </c>
      <c r="C1633" s="209" t="e">
        <f t="shared" si="69"/>
        <v>#N/A</v>
      </c>
      <c r="D1633" t="s">
        <v>5381</v>
      </c>
      <c r="E1633" t="s">
        <v>6450</v>
      </c>
      <c r="F1633" t="s">
        <v>84</v>
      </c>
      <c r="G1633" t="s">
        <v>7595</v>
      </c>
      <c r="H1633" s="214">
        <v>0</v>
      </c>
      <c r="I1633" s="425" t="e">
        <v>#N/A</v>
      </c>
      <c r="J1633" s="91">
        <v>0</v>
      </c>
      <c r="K1633" s="425">
        <v>0</v>
      </c>
      <c r="L1633" s="542" t="s">
        <v>622</v>
      </c>
    </row>
    <row r="1634" spans="1:12" ht="15">
      <c r="A1634">
        <v>355747</v>
      </c>
      <c r="B1634" t="str">
        <f t="shared" si="68"/>
        <v/>
      </c>
      <c r="C1634" s="209" t="e">
        <f t="shared" si="69"/>
        <v>#N/A</v>
      </c>
      <c r="D1634" t="s">
        <v>5382</v>
      </c>
      <c r="E1634" t="s">
        <v>6451</v>
      </c>
      <c r="F1634" t="s">
        <v>84</v>
      </c>
      <c r="G1634" t="s">
        <v>7596</v>
      </c>
      <c r="H1634" s="214">
        <v>0</v>
      </c>
      <c r="I1634" s="425" t="e">
        <v>#N/A</v>
      </c>
      <c r="J1634" s="91">
        <v>0</v>
      </c>
      <c r="K1634" s="425">
        <v>0</v>
      </c>
      <c r="L1634" s="542" t="s">
        <v>622</v>
      </c>
    </row>
    <row r="1635" spans="1:12" ht="15">
      <c r="A1635">
        <v>355766</v>
      </c>
      <c r="B1635" t="e">
        <f t="shared" si="68"/>
        <v>#N/A</v>
      </c>
      <c r="C1635" s="209" t="e">
        <f t="shared" si="69"/>
        <v>#N/A</v>
      </c>
      <c r="D1635" t="s">
        <v>5383</v>
      </c>
      <c r="E1635" t="e">
        <v>#N/A</v>
      </c>
      <c r="F1635" t="e">
        <v>#N/A</v>
      </c>
      <c r="G1635" t="e">
        <v>#N/A</v>
      </c>
      <c r="H1635" s="214">
        <v>616.20829000000003</v>
      </c>
      <c r="I1635" s="425" t="e">
        <v>#N/A</v>
      </c>
      <c r="J1635" s="91">
        <v>115.08387</v>
      </c>
      <c r="K1635" s="425">
        <v>9280.0856399999993</v>
      </c>
      <c r="L1635" s="542" t="s">
        <v>622</v>
      </c>
    </row>
    <row r="1636" spans="1:12" ht="15">
      <c r="A1636">
        <v>355768</v>
      </c>
      <c r="B1636" t="e">
        <f t="shared" si="68"/>
        <v>#N/A</v>
      </c>
      <c r="C1636" s="209" t="e">
        <f t="shared" si="69"/>
        <v>#N/A</v>
      </c>
      <c r="D1636" t="s">
        <v>5384</v>
      </c>
      <c r="E1636" t="e">
        <v>#N/A</v>
      </c>
      <c r="F1636" t="e">
        <v>#N/A</v>
      </c>
      <c r="G1636" t="e">
        <v>#N/A</v>
      </c>
      <c r="H1636" s="214">
        <v>1067.8298400000001</v>
      </c>
      <c r="I1636" s="425" t="e">
        <v>#N/A</v>
      </c>
      <c r="J1636" s="91">
        <v>199.41895</v>
      </c>
      <c r="K1636" s="425">
        <v>15593.892320000001</v>
      </c>
      <c r="L1636" s="542" t="s">
        <v>622</v>
      </c>
    </row>
    <row r="1637" spans="1:12" ht="15">
      <c r="A1637">
        <v>355770</v>
      </c>
      <c r="B1637" t="e">
        <f t="shared" si="68"/>
        <v>#N/A</v>
      </c>
      <c r="C1637" s="209" t="e">
        <f t="shared" si="69"/>
        <v>#N/A</v>
      </c>
      <c r="D1637" t="s">
        <v>5385</v>
      </c>
      <c r="E1637" t="e">
        <v>#N/A</v>
      </c>
      <c r="F1637" t="e">
        <v>#N/A</v>
      </c>
      <c r="G1637" t="e">
        <v>#N/A</v>
      </c>
      <c r="H1637" s="214">
        <v>1504.66932</v>
      </c>
      <c r="I1637" s="425" t="e">
        <v>#N/A</v>
      </c>
      <c r="J1637" s="91">
        <v>280.99943000000002</v>
      </c>
      <c r="K1637" s="425">
        <v>21973.211899999998</v>
      </c>
      <c r="L1637" s="542" t="s">
        <v>622</v>
      </c>
    </row>
    <row r="1638" spans="1:12" ht="15">
      <c r="A1638">
        <v>355776</v>
      </c>
      <c r="B1638" t="e">
        <f t="shared" si="68"/>
        <v>#N/A</v>
      </c>
      <c r="C1638" s="209" t="e">
        <f t="shared" si="69"/>
        <v>#N/A</v>
      </c>
      <c r="D1638" t="s">
        <v>5386</v>
      </c>
      <c r="E1638" t="e">
        <v>#N/A</v>
      </c>
      <c r="F1638" t="e">
        <v>#N/A</v>
      </c>
      <c r="G1638" t="e">
        <v>#N/A</v>
      </c>
      <c r="H1638" s="214">
        <v>833.23086000000001</v>
      </c>
      <c r="I1638" s="425" t="e">
        <v>#N/A</v>
      </c>
      <c r="J1638" s="91">
        <v>155.60722000000001</v>
      </c>
      <c r="K1638" s="425">
        <v>12167.961439999999</v>
      </c>
      <c r="L1638" s="542" t="s">
        <v>622</v>
      </c>
    </row>
    <row r="1639" spans="1:12" ht="15">
      <c r="A1639">
        <v>355793</v>
      </c>
      <c r="B1639" t="str">
        <f t="shared" si="68"/>
        <v/>
      </c>
      <c r="C1639" s="209" t="e">
        <f t="shared" si="69"/>
        <v>#N/A</v>
      </c>
      <c r="D1639" t="s">
        <v>5387</v>
      </c>
      <c r="E1639" t="s">
        <v>6452</v>
      </c>
      <c r="F1639" t="s">
        <v>84</v>
      </c>
      <c r="G1639" t="s">
        <v>7597</v>
      </c>
      <c r="H1639" s="214">
        <v>0</v>
      </c>
      <c r="I1639" s="425" t="e">
        <v>#N/A</v>
      </c>
      <c r="J1639" s="91">
        <v>0</v>
      </c>
      <c r="K1639" s="425">
        <v>0</v>
      </c>
      <c r="L1639" s="542" t="s">
        <v>622</v>
      </c>
    </row>
    <row r="1640" spans="1:12" ht="15">
      <c r="A1640">
        <v>355794</v>
      </c>
      <c r="B1640" t="str">
        <f t="shared" si="68"/>
        <v/>
      </c>
      <c r="C1640" s="209" t="e">
        <f t="shared" si="69"/>
        <v>#N/A</v>
      </c>
      <c r="D1640" t="s">
        <v>5388</v>
      </c>
      <c r="E1640" t="s">
        <v>6453</v>
      </c>
      <c r="F1640" t="s">
        <v>84</v>
      </c>
      <c r="G1640" t="s">
        <v>7598</v>
      </c>
      <c r="H1640" s="214">
        <v>0</v>
      </c>
      <c r="I1640" s="425" t="e">
        <v>#N/A</v>
      </c>
      <c r="J1640" s="91">
        <v>0</v>
      </c>
      <c r="K1640" s="425">
        <v>0</v>
      </c>
      <c r="L1640" s="542" t="s">
        <v>622</v>
      </c>
    </row>
    <row r="1641" spans="1:12" ht="15">
      <c r="A1641">
        <v>355795</v>
      </c>
      <c r="B1641" t="str">
        <f t="shared" si="68"/>
        <v/>
      </c>
      <c r="C1641" s="209" t="e">
        <f t="shared" si="69"/>
        <v>#N/A</v>
      </c>
      <c r="D1641" t="s">
        <v>5389</v>
      </c>
      <c r="E1641" t="s">
        <v>6454</v>
      </c>
      <c r="F1641" t="s">
        <v>84</v>
      </c>
      <c r="G1641" t="s">
        <v>7599</v>
      </c>
      <c r="H1641" s="214">
        <v>0</v>
      </c>
      <c r="I1641" s="425" t="e">
        <v>#N/A</v>
      </c>
      <c r="J1641" s="91">
        <v>0</v>
      </c>
      <c r="K1641" s="425">
        <v>0</v>
      </c>
      <c r="L1641" s="542" t="s">
        <v>622</v>
      </c>
    </row>
    <row r="1642" spans="1:12" ht="15">
      <c r="A1642">
        <v>355813</v>
      </c>
      <c r="B1642" t="e">
        <f t="shared" si="68"/>
        <v>#N/A</v>
      </c>
      <c r="C1642" s="209" t="e">
        <f t="shared" si="69"/>
        <v>#N/A</v>
      </c>
      <c r="D1642" t="s">
        <v>5390</v>
      </c>
      <c r="E1642" t="e">
        <v>#N/A</v>
      </c>
      <c r="F1642" t="e">
        <v>#N/A</v>
      </c>
      <c r="G1642" t="e">
        <v>#N/A</v>
      </c>
      <c r="H1642" s="214">
        <v>599</v>
      </c>
      <c r="I1642" s="425" t="e">
        <v>#N/A</v>
      </c>
      <c r="J1642" s="91">
        <v>26.137080000000001</v>
      </c>
      <c r="K1642" s="425">
        <v>2097.3692000000001</v>
      </c>
      <c r="L1642" s="542" t="s">
        <v>622</v>
      </c>
    </row>
    <row r="1643" spans="1:12" ht="15">
      <c r="A1643">
        <v>355892</v>
      </c>
      <c r="B1643" t="e">
        <f t="shared" si="68"/>
        <v>#N/A</v>
      </c>
      <c r="C1643" s="209" t="e">
        <f t="shared" si="69"/>
        <v>#N/A</v>
      </c>
      <c r="D1643" t="s">
        <v>5391</v>
      </c>
      <c r="E1643" t="e">
        <v>#N/A</v>
      </c>
      <c r="F1643" t="e">
        <v>#N/A</v>
      </c>
      <c r="G1643" t="e">
        <v>#N/A</v>
      </c>
      <c r="H1643" s="214">
        <v>580.19894999999997</v>
      </c>
      <c r="I1643" s="425" t="e">
        <v>#N/A</v>
      </c>
      <c r="J1643" s="91">
        <v>93.253</v>
      </c>
      <c r="K1643" s="425">
        <v>7675.1133099999997</v>
      </c>
      <c r="L1643" s="542" t="s">
        <v>621</v>
      </c>
    </row>
    <row r="1644" spans="1:12" ht="15">
      <c r="A1644">
        <v>356172</v>
      </c>
      <c r="B1644" t="str">
        <f t="shared" si="68"/>
        <v>SEVROLL koncovka k lište Hide N RAL9003 mat</v>
      </c>
      <c r="C1644" s="209" t="e">
        <f t="shared" si="69"/>
        <v>#N/A</v>
      </c>
      <c r="D1644" t="s">
        <v>5392</v>
      </c>
      <c r="E1644" t="s">
        <v>6455</v>
      </c>
      <c r="F1644" t="s">
        <v>7033</v>
      </c>
      <c r="G1644" t="s">
        <v>7600</v>
      </c>
      <c r="H1644" s="214">
        <v>0</v>
      </c>
      <c r="I1644" s="425" t="e">
        <v>#N/A</v>
      </c>
      <c r="J1644" s="91">
        <v>0</v>
      </c>
      <c r="K1644" s="425">
        <v>0</v>
      </c>
      <c r="L1644" s="542" t="s">
        <v>622</v>
      </c>
    </row>
    <row r="1645" spans="1:12" ht="15">
      <c r="A1645">
        <v>356708</v>
      </c>
      <c r="B1645" t="e">
        <f t="shared" si="68"/>
        <v>#N/A</v>
      </c>
      <c r="C1645" s="209" t="e">
        <f t="shared" si="69"/>
        <v>#N/A</v>
      </c>
      <c r="D1645" t="s">
        <v>5393</v>
      </c>
      <c r="E1645" t="e">
        <v>#N/A</v>
      </c>
      <c r="F1645" t="e">
        <v>#N/A</v>
      </c>
      <c r="G1645" t="e">
        <v>#N/A</v>
      </c>
      <c r="H1645" s="214">
        <v>23.60698</v>
      </c>
      <c r="I1645" s="425" t="e">
        <v>#N/A</v>
      </c>
      <c r="J1645" s="91">
        <v>4.4088799999999999</v>
      </c>
      <c r="K1645" s="425">
        <v>355.52071999999998</v>
      </c>
      <c r="L1645" s="542" t="s">
        <v>622</v>
      </c>
    </row>
    <row r="1646" spans="1:12" ht="15">
      <c r="A1646">
        <v>356710</v>
      </c>
      <c r="B1646" t="e">
        <f t="shared" si="68"/>
        <v>#N/A</v>
      </c>
      <c r="C1646" s="209" t="e">
        <f t="shared" si="69"/>
        <v>#N/A</v>
      </c>
      <c r="D1646" t="s">
        <v>5394</v>
      </c>
      <c r="E1646" t="e">
        <v>#N/A</v>
      </c>
      <c r="F1646" t="e">
        <v>#N/A</v>
      </c>
      <c r="G1646" t="e">
        <v>#N/A</v>
      </c>
      <c r="H1646" s="214">
        <v>1.25197</v>
      </c>
      <c r="I1646" s="425" t="e">
        <v>#N/A</v>
      </c>
      <c r="J1646" s="91">
        <v>0.23380999999999999</v>
      </c>
      <c r="K1646" s="425">
        <v>18.282869999999999</v>
      </c>
      <c r="L1646" s="542" t="s">
        <v>622</v>
      </c>
    </row>
    <row r="1647" spans="1:12" ht="15">
      <c r="A1647">
        <v>356713</v>
      </c>
      <c r="B1647" t="e">
        <f t="shared" si="68"/>
        <v>#N/A</v>
      </c>
      <c r="C1647" s="209" t="e">
        <f t="shared" si="69"/>
        <v>#N/A</v>
      </c>
      <c r="D1647" t="s">
        <v>5395</v>
      </c>
      <c r="E1647" t="e">
        <v>#N/A</v>
      </c>
      <c r="F1647" t="e">
        <v>#N/A</v>
      </c>
      <c r="G1647" t="e">
        <v>#N/A</v>
      </c>
      <c r="H1647" s="214">
        <v>23.607949999999999</v>
      </c>
      <c r="I1647" s="425" t="e">
        <v>#N/A</v>
      </c>
      <c r="J1647" s="91">
        <v>4.4090499999999997</v>
      </c>
      <c r="K1647" s="425">
        <v>355.52071999999998</v>
      </c>
      <c r="L1647" s="542" t="s">
        <v>622</v>
      </c>
    </row>
    <row r="1648" spans="1:12" ht="15">
      <c r="A1648">
        <v>335035</v>
      </c>
      <c r="B1648" t="e">
        <f t="shared" si="68"/>
        <v>#N/A</v>
      </c>
      <c r="C1648" s="209" t="e">
        <f t="shared" si="69"/>
        <v>#N/A</v>
      </c>
      <c r="D1648" t="s">
        <v>5396</v>
      </c>
      <c r="E1648" t="e">
        <v>#N/A</v>
      </c>
      <c r="F1648" t="e">
        <v>#N/A</v>
      </c>
      <c r="G1648" t="e">
        <v>#N/A</v>
      </c>
      <c r="H1648" s="214">
        <v>759.76250000000005</v>
      </c>
      <c r="I1648" s="425" t="e">
        <v>#N/A</v>
      </c>
      <c r="J1648" s="91">
        <v>171.30168</v>
      </c>
      <c r="K1648" s="425">
        <v>14601.669830000001</v>
      </c>
      <c r="L1648" s="542" t="s">
        <v>622</v>
      </c>
    </row>
    <row r="1649" spans="1:12" ht="15">
      <c r="A1649">
        <v>335508</v>
      </c>
      <c r="B1649" t="str">
        <f t="shared" si="68"/>
        <v/>
      </c>
      <c r="C1649" s="209">
        <f t="shared" si="69"/>
        <v>26.90006</v>
      </c>
      <c r="D1649" t="s">
        <v>5397</v>
      </c>
      <c r="E1649" t="s">
        <v>6456</v>
      </c>
      <c r="F1649" t="s">
        <v>84</v>
      </c>
      <c r="G1649" t="s">
        <v>7601</v>
      </c>
      <c r="H1649" s="214">
        <v>814.87360000000001</v>
      </c>
      <c r="I1649" s="425">
        <v>26.90006</v>
      </c>
      <c r="J1649" s="91">
        <v>96.3</v>
      </c>
      <c r="K1649" s="425">
        <v>9232.7486200000003</v>
      </c>
      <c r="L1649" s="542" t="s">
        <v>622</v>
      </c>
    </row>
    <row r="1650" spans="1:12" ht="15">
      <c r="A1650">
        <v>335509</v>
      </c>
      <c r="B1650" t="str">
        <f t="shared" si="68"/>
        <v/>
      </c>
      <c r="C1650" s="209">
        <f t="shared" si="69"/>
        <v>30.877220000000001</v>
      </c>
      <c r="D1650" t="s">
        <v>5398</v>
      </c>
      <c r="E1650" t="s">
        <v>6457</v>
      </c>
      <c r="F1650" t="s">
        <v>84</v>
      </c>
      <c r="G1650" t="s">
        <v>7602</v>
      </c>
      <c r="H1650" s="214">
        <v>934.43583999999998</v>
      </c>
      <c r="I1650" s="425">
        <v>30.877220000000001</v>
      </c>
      <c r="J1650" s="91">
        <v>110.43</v>
      </c>
      <c r="K1650" s="425">
        <v>10587.422640000001</v>
      </c>
      <c r="L1650" s="542" t="s">
        <v>622</v>
      </c>
    </row>
    <row r="1651" spans="1:12" ht="15">
      <c r="A1651">
        <v>335510</v>
      </c>
      <c r="B1651" t="str">
        <f t="shared" si="68"/>
        <v/>
      </c>
      <c r="C1651" s="209">
        <f t="shared" si="69"/>
        <v>33.384039999999999</v>
      </c>
      <c r="D1651" t="s">
        <v>5399</v>
      </c>
      <c r="E1651" t="s">
        <v>6458</v>
      </c>
      <c r="F1651" t="s">
        <v>84</v>
      </c>
      <c r="G1651" t="s">
        <v>7603</v>
      </c>
      <c r="H1651" s="214">
        <v>1011.29728</v>
      </c>
      <c r="I1651" s="425">
        <v>33.384039999999999</v>
      </c>
      <c r="J1651" s="91">
        <v>119.51</v>
      </c>
      <c r="K1651" s="425">
        <v>11458.284540000001</v>
      </c>
      <c r="L1651" s="542" t="s">
        <v>622</v>
      </c>
    </row>
    <row r="1652" spans="1:12" ht="15">
      <c r="A1652">
        <v>335513</v>
      </c>
      <c r="B1652" t="str">
        <f t="shared" si="68"/>
        <v/>
      </c>
      <c r="C1652" s="209">
        <f t="shared" si="69"/>
        <v>0.57850000000000001</v>
      </c>
      <c r="D1652" t="s">
        <v>5400</v>
      </c>
      <c r="E1652" t="s">
        <v>6459</v>
      </c>
      <c r="F1652" t="s">
        <v>84</v>
      </c>
      <c r="G1652" t="s">
        <v>7604</v>
      </c>
      <c r="H1652" s="214">
        <v>17.08032</v>
      </c>
      <c r="I1652" s="425">
        <v>0.57850000000000001</v>
      </c>
      <c r="J1652" s="91">
        <v>2.02</v>
      </c>
      <c r="K1652" s="425">
        <v>193.52486999999999</v>
      </c>
      <c r="L1652" s="542" t="s">
        <v>622</v>
      </c>
    </row>
    <row r="1653" spans="1:12" ht="15">
      <c r="A1653">
        <v>335666</v>
      </c>
      <c r="B1653" t="e">
        <f t="shared" si="68"/>
        <v>#N/A</v>
      </c>
      <c r="C1653" s="209" t="e">
        <f t="shared" si="69"/>
        <v>#N/A</v>
      </c>
      <c r="D1653" t="s">
        <v>5401</v>
      </c>
      <c r="E1653" t="e">
        <v>#N/A</v>
      </c>
      <c r="F1653" t="e">
        <v>#N/A</v>
      </c>
      <c r="G1653" t="e">
        <v>#N/A</v>
      </c>
      <c r="H1653" s="214">
        <v>630.33226999999999</v>
      </c>
      <c r="I1653" s="425" t="e">
        <v>#N/A</v>
      </c>
      <c r="J1653" s="91">
        <v>0</v>
      </c>
      <c r="K1653" s="425">
        <v>0</v>
      </c>
      <c r="L1653" s="542" t="s">
        <v>624</v>
      </c>
    </row>
    <row r="1654" spans="1:12" ht="15">
      <c r="A1654">
        <v>385652</v>
      </c>
      <c r="B1654" t="str">
        <f t="shared" si="68"/>
        <v/>
      </c>
      <c r="C1654" s="209" t="e">
        <f t="shared" si="69"/>
        <v>#N/A</v>
      </c>
      <c r="D1654" t="s">
        <v>5402</v>
      </c>
      <c r="E1654" t="s">
        <v>6460</v>
      </c>
      <c r="F1654" t="s">
        <v>84</v>
      </c>
      <c r="G1654" t="s">
        <v>84</v>
      </c>
      <c r="H1654" s="214">
        <v>0</v>
      </c>
      <c r="I1654" s="425" t="e">
        <v>#N/A</v>
      </c>
      <c r="J1654" s="91">
        <v>0</v>
      </c>
      <c r="K1654" s="425">
        <v>0</v>
      </c>
      <c r="L1654" s="542" t="s">
        <v>622</v>
      </c>
    </row>
    <row r="1655" spans="1:12" ht="15">
      <c r="A1655">
        <v>385659</v>
      </c>
      <c r="B1655" t="str">
        <f t="shared" si="68"/>
        <v/>
      </c>
      <c r="C1655" s="209" t="e">
        <f t="shared" si="69"/>
        <v>#N/A</v>
      </c>
      <c r="D1655" t="s">
        <v>5403</v>
      </c>
      <c r="E1655" t="s">
        <v>6461</v>
      </c>
      <c r="F1655" t="s">
        <v>84</v>
      </c>
      <c r="G1655" t="s">
        <v>84</v>
      </c>
      <c r="H1655" s="214">
        <v>0</v>
      </c>
      <c r="I1655" s="425" t="e">
        <v>#N/A</v>
      </c>
      <c r="J1655" s="91">
        <v>0</v>
      </c>
      <c r="K1655" s="425">
        <v>0</v>
      </c>
      <c r="L1655" s="542" t="s">
        <v>622</v>
      </c>
    </row>
    <row r="1656" spans="1:12" ht="15">
      <c r="A1656">
        <v>385660</v>
      </c>
      <c r="B1656" t="str">
        <f t="shared" si="68"/>
        <v/>
      </c>
      <c r="C1656" s="209" t="e">
        <f t="shared" si="69"/>
        <v>#N/A</v>
      </c>
      <c r="D1656" t="s">
        <v>5404</v>
      </c>
      <c r="E1656" t="s">
        <v>6462</v>
      </c>
      <c r="F1656" t="s">
        <v>84</v>
      </c>
      <c r="G1656" t="s">
        <v>84</v>
      </c>
      <c r="H1656" s="214">
        <v>0</v>
      </c>
      <c r="I1656" s="425" t="e">
        <v>#N/A</v>
      </c>
      <c r="J1656" s="91">
        <v>0</v>
      </c>
      <c r="K1656" s="425">
        <v>0</v>
      </c>
      <c r="L1656" s="542" t="s">
        <v>622</v>
      </c>
    </row>
    <row r="1657" spans="1:12" ht="15">
      <c r="A1657">
        <v>385661</v>
      </c>
      <c r="B1657" t="str">
        <f t="shared" si="68"/>
        <v/>
      </c>
      <c r="C1657" s="209" t="e">
        <f t="shared" si="69"/>
        <v>#N/A</v>
      </c>
      <c r="D1657" t="s">
        <v>5405</v>
      </c>
      <c r="E1657" t="s">
        <v>6463</v>
      </c>
      <c r="F1657" t="s">
        <v>84</v>
      </c>
      <c r="G1657" t="s">
        <v>84</v>
      </c>
      <c r="H1657" s="214">
        <v>0</v>
      </c>
      <c r="I1657" s="425" t="e">
        <v>#N/A</v>
      </c>
      <c r="J1657" s="91">
        <v>0</v>
      </c>
      <c r="K1657" s="425">
        <v>0</v>
      </c>
      <c r="L1657" s="542" t="s">
        <v>622</v>
      </c>
    </row>
    <row r="1658" spans="1:12" ht="15">
      <c r="A1658">
        <v>385662</v>
      </c>
      <c r="B1658" t="str">
        <f t="shared" si="68"/>
        <v/>
      </c>
      <c r="C1658" s="209" t="e">
        <f t="shared" si="69"/>
        <v>#N/A</v>
      </c>
      <c r="D1658" t="s">
        <v>5406</v>
      </c>
      <c r="E1658" t="s">
        <v>6464</v>
      </c>
      <c r="F1658" t="s">
        <v>84</v>
      </c>
      <c r="G1658" t="s">
        <v>84</v>
      </c>
      <c r="H1658" s="214">
        <v>0</v>
      </c>
      <c r="I1658" s="425" t="e">
        <v>#N/A</v>
      </c>
      <c r="J1658" s="91">
        <v>0</v>
      </c>
      <c r="K1658" s="425">
        <v>0</v>
      </c>
      <c r="L1658" s="542" t="s">
        <v>622</v>
      </c>
    </row>
    <row r="1659" spans="1:12" ht="15">
      <c r="A1659">
        <v>407348</v>
      </c>
      <c r="B1659" t="str">
        <f t="shared" si="68"/>
        <v/>
      </c>
      <c r="C1659" s="209" t="e">
        <f t="shared" si="69"/>
        <v>#N/A</v>
      </c>
      <c r="D1659" t="s">
        <v>5407</v>
      </c>
      <c r="E1659" t="s">
        <v>6460</v>
      </c>
      <c r="F1659" t="s">
        <v>84</v>
      </c>
      <c r="G1659" t="s">
        <v>84</v>
      </c>
      <c r="H1659" s="214">
        <v>0</v>
      </c>
      <c r="I1659" s="425" t="e">
        <v>#N/A</v>
      </c>
      <c r="J1659" s="91">
        <v>0</v>
      </c>
      <c r="K1659" s="425">
        <v>0</v>
      </c>
      <c r="L1659" s="542" t="s">
        <v>622</v>
      </c>
    </row>
    <row r="1660" spans="1:12" ht="15">
      <c r="A1660">
        <v>456957</v>
      </c>
      <c r="B1660" t="str">
        <f t="shared" ref="B1660:B1701" si="70">IF($A$2=1,D1660,IF($A$2=2,F1660,IF($A$2=3,G1660,IF($A$2=4,E1660,"zadat jazyk"))))</f>
        <v/>
      </c>
      <c r="C1660" s="209" t="e">
        <f t="shared" ref="C1660:C1701" si="71">IF($A$2=1,H1660,IF($A$2=2,I1660,IF($A$2=3,J1660,IF($A$2=4,K1660,"zadat jazyk"))))</f>
        <v>#N/A</v>
      </c>
      <c r="D1660" t="s">
        <v>5408</v>
      </c>
      <c r="E1660" t="s">
        <v>84</v>
      </c>
      <c r="F1660" t="s">
        <v>84</v>
      </c>
      <c r="G1660" t="s">
        <v>84</v>
      </c>
      <c r="H1660" s="214">
        <v>898.21132999999998</v>
      </c>
      <c r="I1660" s="425" t="e">
        <v>#N/A</v>
      </c>
      <c r="J1660" s="91">
        <v>113.99056</v>
      </c>
      <c r="K1660" s="425">
        <v>10176.988670000001</v>
      </c>
      <c r="L1660" s="542" t="s">
        <v>622</v>
      </c>
    </row>
    <row r="1661" spans="1:12" ht="15">
      <c r="A1661">
        <v>457354</v>
      </c>
      <c r="B1661" t="str">
        <f t="shared" si="70"/>
        <v>SEVROLL Era úchytová lišta 18mm 2,70m oliva new</v>
      </c>
      <c r="C1661" s="209">
        <f t="shared" si="71"/>
        <v>17.847439999999999</v>
      </c>
      <c r="D1661" t="s">
        <v>5409</v>
      </c>
      <c r="E1661" t="s">
        <v>6465</v>
      </c>
      <c r="F1661" t="s">
        <v>7034</v>
      </c>
      <c r="G1661" t="s">
        <v>7605</v>
      </c>
      <c r="H1661" s="214">
        <v>391.81319999999999</v>
      </c>
      <c r="I1661" s="425">
        <v>17.847439999999999</v>
      </c>
      <c r="J1661" s="91">
        <v>43.9</v>
      </c>
      <c r="K1661" s="425">
        <v>4209.1657400000004</v>
      </c>
      <c r="L1661" s="542" t="s">
        <v>621</v>
      </c>
    </row>
    <row r="1662" spans="1:12" ht="15">
      <c r="A1662">
        <v>457371</v>
      </c>
      <c r="B1662" t="str">
        <f t="shared" si="70"/>
        <v>SEVROLL Blue horné vedenie 6m oliva new</v>
      </c>
      <c r="C1662" s="209">
        <f t="shared" si="71"/>
        <v>63.787570000000002</v>
      </c>
      <c r="D1662" t="s">
        <v>5410</v>
      </c>
      <c r="E1662" t="s">
        <v>6466</v>
      </c>
      <c r="F1662" t="s">
        <v>7035</v>
      </c>
      <c r="G1662" t="s">
        <v>7606</v>
      </c>
      <c r="H1662" s="214">
        <v>1420.8858</v>
      </c>
      <c r="I1662" s="425">
        <v>63.787570000000002</v>
      </c>
      <c r="J1662" s="91">
        <v>163.35</v>
      </c>
      <c r="K1662" s="425">
        <v>15264.27349</v>
      </c>
      <c r="L1662" s="542" t="s">
        <v>621</v>
      </c>
    </row>
    <row r="1663" spans="1:12" ht="15">
      <c r="A1663">
        <v>457372</v>
      </c>
      <c r="B1663" t="str">
        <f t="shared" si="70"/>
        <v>SEVROLL Blue-V spodné vedenie 6m oliva new</v>
      </c>
      <c r="C1663" s="209">
        <f t="shared" si="71"/>
        <v>33.051819999999999</v>
      </c>
      <c r="D1663" t="s">
        <v>5411</v>
      </c>
      <c r="E1663" t="s">
        <v>6467</v>
      </c>
      <c r="F1663" t="s">
        <v>7036</v>
      </c>
      <c r="G1663" t="s">
        <v>7607</v>
      </c>
      <c r="H1663" s="214">
        <v>725.83019999999999</v>
      </c>
      <c r="I1663" s="425">
        <v>33.051819999999999</v>
      </c>
      <c r="J1663" s="91">
        <v>113.67</v>
      </c>
      <c r="K1663" s="425">
        <v>7797.43923</v>
      </c>
      <c r="L1663" s="542" t="s">
        <v>621</v>
      </c>
    </row>
    <row r="1664" spans="1:12" ht="15">
      <c r="A1664">
        <v>457373</v>
      </c>
      <c r="B1664" t="str">
        <f t="shared" si="70"/>
        <v>SEVROLL horná vodiaca lišta Simple/Blue 3m( 18 mm) oliva new</v>
      </c>
      <c r="C1664" s="209">
        <f t="shared" si="71"/>
        <v>13.460509999999999</v>
      </c>
      <c r="D1664" t="s">
        <v>5412</v>
      </c>
      <c r="E1664" t="s">
        <v>6468</v>
      </c>
      <c r="F1664" t="s">
        <v>7037</v>
      </c>
      <c r="G1664" t="s">
        <v>7608</v>
      </c>
      <c r="H1664" s="214">
        <v>351.25299999999999</v>
      </c>
      <c r="I1664" s="425">
        <v>13.460509999999999</v>
      </c>
      <c r="J1664" s="91">
        <v>54.46</v>
      </c>
      <c r="K1664" s="425">
        <v>3346.3674099999998</v>
      </c>
      <c r="L1664" s="542" t="s">
        <v>621</v>
      </c>
    </row>
    <row r="1665" spans="1:12" ht="15">
      <c r="A1665">
        <v>457390</v>
      </c>
      <c r="B1665" t="str">
        <f t="shared" si="70"/>
        <v>SEVROLL spodná krycia lišta Simple/Blue 3m (18mm) oliva new</v>
      </c>
      <c r="C1665" s="209">
        <f t="shared" si="71"/>
        <v>26.26707</v>
      </c>
      <c r="D1665" t="s">
        <v>5413</v>
      </c>
      <c r="E1665" t="s">
        <v>6469</v>
      </c>
      <c r="F1665" t="s">
        <v>7038</v>
      </c>
      <c r="G1665" t="s">
        <v>7609</v>
      </c>
      <c r="H1665" s="214">
        <v>686.93799999999999</v>
      </c>
      <c r="I1665" s="425">
        <v>26.26707</v>
      </c>
      <c r="J1665" s="91">
        <v>102.57</v>
      </c>
      <c r="K1665" s="425">
        <v>6547.5911599999999</v>
      </c>
      <c r="L1665" s="542" t="s">
        <v>621</v>
      </c>
    </row>
    <row r="1666" spans="1:12" ht="15">
      <c r="A1666">
        <v>384363</v>
      </c>
      <c r="B1666" t="str">
        <f t="shared" si="70"/>
        <v/>
      </c>
      <c r="C1666" s="209">
        <f t="shared" si="71"/>
        <v>2.1693600000000002</v>
      </c>
      <c r="D1666" t="s">
        <v>5414</v>
      </c>
      <c r="E1666" t="s">
        <v>6470</v>
      </c>
      <c r="F1666" t="s">
        <v>84</v>
      </c>
      <c r="G1666" t="s">
        <v>84</v>
      </c>
      <c r="H1666" s="214">
        <v>55.22748</v>
      </c>
      <c r="I1666" s="425">
        <v>2.1693600000000002</v>
      </c>
      <c r="J1666" s="91">
        <v>6.49</v>
      </c>
      <c r="K1666" s="425">
        <v>620.89225999999996</v>
      </c>
      <c r="L1666" s="542" t="s">
        <v>622</v>
      </c>
    </row>
    <row r="1667" spans="1:12" ht="15">
      <c r="A1667">
        <v>385004</v>
      </c>
      <c r="B1667" t="str">
        <f t="shared" si="70"/>
        <v/>
      </c>
      <c r="C1667" s="209">
        <f t="shared" si="71"/>
        <v>1.0449999999999999E-2</v>
      </c>
      <c r="D1667" t="s">
        <v>5415</v>
      </c>
      <c r="E1667" t="s">
        <v>84</v>
      </c>
      <c r="F1667" t="s">
        <v>84</v>
      </c>
      <c r="G1667" t="s">
        <v>84</v>
      </c>
      <c r="H1667" s="214">
        <v>0</v>
      </c>
      <c r="I1667" s="425">
        <v>1.0449999999999999E-2</v>
      </c>
      <c r="J1667" s="91">
        <v>0</v>
      </c>
      <c r="K1667" s="425">
        <v>20000</v>
      </c>
      <c r="L1667" s="542" t="s">
        <v>624</v>
      </c>
    </row>
    <row r="1668" spans="1:12" ht="15">
      <c r="A1668">
        <v>385007</v>
      </c>
      <c r="B1668" t="str">
        <f t="shared" si="70"/>
        <v/>
      </c>
      <c r="C1668" s="209">
        <f t="shared" si="71"/>
        <v>2.5250000000000002E-2</v>
      </c>
      <c r="D1668" t="s">
        <v>5416</v>
      </c>
      <c r="E1668" t="s">
        <v>84</v>
      </c>
      <c r="F1668" t="s">
        <v>84</v>
      </c>
      <c r="G1668" t="s">
        <v>84</v>
      </c>
      <c r="H1668" s="214">
        <v>0</v>
      </c>
      <c r="I1668" s="425">
        <v>2.5250000000000002E-2</v>
      </c>
      <c r="J1668" s="91">
        <v>0</v>
      </c>
      <c r="K1668" s="425">
        <v>20000</v>
      </c>
      <c r="L1668" s="542" t="s">
        <v>624</v>
      </c>
    </row>
    <row r="1669" spans="1:12" ht="15">
      <c r="A1669">
        <v>385008</v>
      </c>
      <c r="B1669" t="str">
        <f t="shared" si="70"/>
        <v/>
      </c>
      <c r="C1669" s="209">
        <f t="shared" si="71"/>
        <v>0</v>
      </c>
      <c r="D1669" t="s">
        <v>4795</v>
      </c>
      <c r="E1669" t="s">
        <v>6208</v>
      </c>
      <c r="F1669" t="s">
        <v>84</v>
      </c>
      <c r="G1669" t="s">
        <v>84</v>
      </c>
      <c r="H1669" s="214">
        <v>0</v>
      </c>
      <c r="I1669" s="425">
        <v>0</v>
      </c>
      <c r="J1669" s="91">
        <v>337.71355999999997</v>
      </c>
      <c r="K1669" s="425">
        <v>29777.89446</v>
      </c>
      <c r="L1669" s="542" t="s">
        <v>624</v>
      </c>
    </row>
    <row r="1670" spans="1:12" ht="15">
      <c r="A1670">
        <v>298573</v>
      </c>
      <c r="B1670" t="e">
        <f t="shared" si="70"/>
        <v>#N/A</v>
      </c>
      <c r="C1670" s="209" t="e">
        <f t="shared" si="71"/>
        <v>#N/A</v>
      </c>
      <c r="D1670" t="s">
        <v>5417</v>
      </c>
      <c r="E1670" t="e">
        <v>#N/A</v>
      </c>
      <c r="F1670" t="e">
        <v>#N/A</v>
      </c>
      <c r="G1670" t="e">
        <v>#N/A</v>
      </c>
      <c r="H1670" s="214">
        <v>117.8625</v>
      </c>
      <c r="I1670" s="425" t="e">
        <v>#N/A</v>
      </c>
      <c r="J1670" s="91">
        <v>26.574159999999999</v>
      </c>
      <c r="K1670" s="425">
        <v>2265.1676000000002</v>
      </c>
      <c r="L1670" s="542" t="s">
        <v>622</v>
      </c>
    </row>
    <row r="1671" spans="1:12" ht="15">
      <c r="A1671">
        <v>298666</v>
      </c>
      <c r="B1671" t="e">
        <f t="shared" si="70"/>
        <v>#N/A</v>
      </c>
      <c r="C1671" s="209" t="e">
        <f t="shared" si="71"/>
        <v>#N/A</v>
      </c>
      <c r="D1671" t="s">
        <v>5418</v>
      </c>
      <c r="E1671" t="e">
        <v>#N/A</v>
      </c>
      <c r="F1671" t="e">
        <v>#N/A</v>
      </c>
      <c r="G1671" t="e">
        <v>#N/A</v>
      </c>
      <c r="H1671" s="214">
        <v>685.99300000000005</v>
      </c>
      <c r="I1671" s="425" t="e">
        <v>#N/A</v>
      </c>
      <c r="J1671" s="91">
        <v>153.428</v>
      </c>
      <c r="K1671" s="425">
        <v>11892.311820000001</v>
      </c>
      <c r="L1671" s="542" t="s">
        <v>622</v>
      </c>
    </row>
    <row r="1672" spans="1:12" ht="15">
      <c r="A1672">
        <v>346308</v>
      </c>
      <c r="B1672" t="e">
        <f t="shared" si="70"/>
        <v>#N/A</v>
      </c>
      <c r="C1672" s="209" t="e">
        <f t="shared" si="71"/>
        <v>#N/A</v>
      </c>
      <c r="D1672" t="s">
        <v>5419</v>
      </c>
      <c r="E1672" t="e">
        <v>#N/A</v>
      </c>
      <c r="F1672" t="e">
        <v>#N/A</v>
      </c>
      <c r="G1672" t="e">
        <v>#N/A</v>
      </c>
      <c r="H1672" s="214">
        <v>613.77768000000003</v>
      </c>
      <c r="I1672" s="425" t="e">
        <v>#N/A</v>
      </c>
      <c r="J1672" s="91">
        <v>114.62992</v>
      </c>
      <c r="K1672" s="425">
        <v>8963.6753200000003</v>
      </c>
      <c r="L1672" s="542" t="s">
        <v>622</v>
      </c>
    </row>
    <row r="1673" spans="1:12" ht="15">
      <c r="A1673">
        <v>346310</v>
      </c>
      <c r="B1673" t="e">
        <f t="shared" si="70"/>
        <v>#N/A</v>
      </c>
      <c r="C1673" s="209" t="e">
        <f t="shared" si="71"/>
        <v>#N/A</v>
      </c>
      <c r="D1673" t="s">
        <v>5420</v>
      </c>
      <c r="E1673" t="e">
        <v>#N/A</v>
      </c>
      <c r="F1673" t="e">
        <v>#N/A</v>
      </c>
      <c r="G1673" t="e">
        <v>#N/A</v>
      </c>
      <c r="H1673" s="214">
        <v>319.38857999999999</v>
      </c>
      <c r="I1673" s="425" t="e">
        <v>#N/A</v>
      </c>
      <c r="J1673" s="91">
        <v>59.649430000000002</v>
      </c>
      <c r="K1673" s="425">
        <v>4664.3852200000001</v>
      </c>
      <c r="L1673" s="542" t="s">
        <v>622</v>
      </c>
    </row>
    <row r="1674" spans="1:12" ht="15">
      <c r="A1674">
        <v>346311</v>
      </c>
      <c r="B1674" t="e">
        <f t="shared" si="70"/>
        <v>#N/A</v>
      </c>
      <c r="C1674" s="209" t="e">
        <f t="shared" si="71"/>
        <v>#N/A</v>
      </c>
      <c r="D1674" t="s">
        <v>5421</v>
      </c>
      <c r="E1674" t="e">
        <v>#N/A</v>
      </c>
      <c r="F1674" t="e">
        <v>#N/A</v>
      </c>
      <c r="G1674" t="e">
        <v>#N/A</v>
      </c>
      <c r="H1674" s="214">
        <v>67.41</v>
      </c>
      <c r="I1674" s="425" t="e">
        <v>#N/A</v>
      </c>
      <c r="J1674" s="91">
        <v>12.58958</v>
      </c>
      <c r="K1674" s="425">
        <v>984.46290999999997</v>
      </c>
      <c r="L1674" s="542" t="s">
        <v>622</v>
      </c>
    </row>
    <row r="1675" spans="1:12" ht="15">
      <c r="A1675">
        <v>346617</v>
      </c>
      <c r="B1675" t="str">
        <f t="shared" si="70"/>
        <v>SEVROLL tlmič central Simple 18 25kg</v>
      </c>
      <c r="C1675" s="209" t="e">
        <f t="shared" si="71"/>
        <v>#N/A</v>
      </c>
      <c r="D1675" t="s">
        <v>5422</v>
      </c>
      <c r="E1675" t="s">
        <v>6471</v>
      </c>
      <c r="F1675" t="s">
        <v>7039</v>
      </c>
      <c r="G1675" t="s">
        <v>7610</v>
      </c>
      <c r="H1675" s="214">
        <v>0</v>
      </c>
      <c r="I1675" s="425" t="e">
        <v>#N/A</v>
      </c>
      <c r="J1675" s="91">
        <v>0</v>
      </c>
      <c r="K1675" s="425">
        <v>0</v>
      </c>
      <c r="L1675" s="542" t="s">
        <v>622</v>
      </c>
    </row>
    <row r="1676" spans="1:12" ht="15">
      <c r="A1676">
        <v>346618</v>
      </c>
      <c r="B1676" t="str">
        <f t="shared" si="70"/>
        <v>SEVROLL tlmič central Simple 18 40kg</v>
      </c>
      <c r="C1676" s="209" t="e">
        <f t="shared" si="71"/>
        <v>#N/A</v>
      </c>
      <c r="D1676" t="s">
        <v>5423</v>
      </c>
      <c r="E1676" t="s">
        <v>6472</v>
      </c>
      <c r="F1676" t="s">
        <v>7040</v>
      </c>
      <c r="G1676" t="s">
        <v>7611</v>
      </c>
      <c r="H1676" s="214">
        <v>0</v>
      </c>
      <c r="I1676" s="425" t="e">
        <v>#N/A</v>
      </c>
      <c r="J1676" s="91">
        <v>0</v>
      </c>
      <c r="K1676" s="425">
        <v>0</v>
      </c>
      <c r="L1676" s="542" t="s">
        <v>622</v>
      </c>
    </row>
    <row r="1677" spans="1:12" ht="15">
      <c r="A1677">
        <v>405364</v>
      </c>
      <c r="B1677" t="str">
        <f t="shared" si="70"/>
        <v>SEVROLL profil "U" pro lamino 18mm 3m čierna lesk</v>
      </c>
      <c r="C1677" s="209">
        <f t="shared" si="71"/>
        <v>7.1588900000000004</v>
      </c>
      <c r="D1677" t="s">
        <v>5424</v>
      </c>
      <c r="E1677" t="s">
        <v>6473</v>
      </c>
      <c r="F1677" t="s">
        <v>7041</v>
      </c>
      <c r="G1677" t="s">
        <v>7612</v>
      </c>
      <c r="H1677" s="214">
        <v>192.15360000000001</v>
      </c>
      <c r="I1677" s="425">
        <v>7.1588900000000004</v>
      </c>
      <c r="J1677" s="91">
        <v>27.69</v>
      </c>
      <c r="K1677" s="425">
        <v>2177.1546899999998</v>
      </c>
      <c r="L1677" s="542" t="s">
        <v>622</v>
      </c>
    </row>
    <row r="1678" spans="1:12" ht="15">
      <c r="A1678">
        <v>405365</v>
      </c>
      <c r="B1678" t="str">
        <f t="shared" si="70"/>
        <v>SEVROLL uholník 17x11mm 1,7m čierna lesk</v>
      </c>
      <c r="C1678" s="209">
        <f t="shared" si="71"/>
        <v>3.6638099999999998</v>
      </c>
      <c r="D1678" t="s">
        <v>5425</v>
      </c>
      <c r="E1678" t="s">
        <v>6474</v>
      </c>
      <c r="F1678" t="s">
        <v>7042</v>
      </c>
      <c r="G1678" t="s">
        <v>7613</v>
      </c>
      <c r="H1678" s="214">
        <v>96.788480000000007</v>
      </c>
      <c r="I1678" s="425">
        <v>3.6638099999999998</v>
      </c>
      <c r="J1678" s="91">
        <v>12.51</v>
      </c>
      <c r="K1678" s="425">
        <v>1096.6409000000001</v>
      </c>
      <c r="L1678" s="542" t="s">
        <v>621</v>
      </c>
    </row>
    <row r="1679" spans="1:12" ht="15">
      <c r="A1679">
        <v>405366</v>
      </c>
      <c r="B1679" t="str">
        <f t="shared" si="70"/>
        <v>SEVROLL uholník 17x11mm 2,35m čierna lesk</v>
      </c>
      <c r="C1679" s="209">
        <f t="shared" si="71"/>
        <v>5.1100500000000002</v>
      </c>
      <c r="D1679" t="s">
        <v>5426</v>
      </c>
      <c r="E1679" t="s">
        <v>6475</v>
      </c>
      <c r="F1679" t="s">
        <v>7043</v>
      </c>
      <c r="G1679" t="s">
        <v>7614</v>
      </c>
      <c r="H1679" s="214">
        <v>134.50752</v>
      </c>
      <c r="I1679" s="425">
        <v>5.1100500000000002</v>
      </c>
      <c r="J1679" s="91">
        <v>17.32</v>
      </c>
      <c r="K1679" s="425">
        <v>1524.00828</v>
      </c>
      <c r="L1679" s="542" t="s">
        <v>621</v>
      </c>
    </row>
    <row r="1680" spans="1:12" ht="15">
      <c r="A1680">
        <v>405367</v>
      </c>
      <c r="B1680" t="str">
        <f t="shared" si="70"/>
        <v>SEVROLL uholník 17x11mm 3m čierna lesk</v>
      </c>
      <c r="C1680" s="209">
        <f t="shared" si="71"/>
        <v>6.4839799999999999</v>
      </c>
      <c r="D1680" t="s">
        <v>5427</v>
      </c>
      <c r="E1680" t="s">
        <v>6476</v>
      </c>
      <c r="F1680" t="s">
        <v>7044</v>
      </c>
      <c r="G1680" t="s">
        <v>7615</v>
      </c>
      <c r="H1680" s="214">
        <v>170.8032</v>
      </c>
      <c r="I1680" s="425">
        <v>6.4839799999999999</v>
      </c>
      <c r="J1680" s="91">
        <v>22.13</v>
      </c>
      <c r="K1680" s="425">
        <v>1935.2486200000001</v>
      </c>
      <c r="L1680" s="542" t="s">
        <v>621</v>
      </c>
    </row>
    <row r="1681" spans="1:12" ht="15">
      <c r="A1681">
        <v>405369</v>
      </c>
      <c r="B1681" t="str">
        <f t="shared" si="70"/>
        <v>SEVROLL spodná krycia lišta 1,7m 10mm čierny lesk</v>
      </c>
      <c r="C1681" s="209">
        <f t="shared" si="71"/>
        <v>20.030419999999999</v>
      </c>
      <c r="D1681" t="s">
        <v>5428</v>
      </c>
      <c r="E1681" t="s">
        <v>6477</v>
      </c>
      <c r="F1681" t="s">
        <v>7045</v>
      </c>
      <c r="G1681" t="s">
        <v>7616</v>
      </c>
      <c r="H1681" s="214">
        <v>577.17247999999995</v>
      </c>
      <c r="I1681" s="425">
        <v>20.030419999999999</v>
      </c>
      <c r="J1681" s="91">
        <v>72.13</v>
      </c>
      <c r="K1681" s="425">
        <v>6539.5276199999998</v>
      </c>
      <c r="L1681" s="542" t="s">
        <v>621</v>
      </c>
    </row>
    <row r="1682" spans="1:12" ht="15">
      <c r="A1682">
        <v>405375</v>
      </c>
      <c r="B1682" t="str">
        <f t="shared" si="70"/>
        <v>SEVROLL spod.krycia lišta 2,35m 10mm čierna lesk</v>
      </c>
      <c r="C1682" s="209">
        <f t="shared" si="71"/>
        <v>27.7196</v>
      </c>
      <c r="D1682" t="s">
        <v>5429</v>
      </c>
      <c r="E1682" t="s">
        <v>6478</v>
      </c>
      <c r="F1682" t="s">
        <v>7046</v>
      </c>
      <c r="G1682" t="s">
        <v>7617</v>
      </c>
      <c r="H1682" s="214">
        <v>798.50495999999998</v>
      </c>
      <c r="I1682" s="425">
        <v>27.7196</v>
      </c>
      <c r="J1682" s="91">
        <v>99.71</v>
      </c>
      <c r="K1682" s="425">
        <v>9047.2872800000005</v>
      </c>
      <c r="L1682" s="542" t="s">
        <v>621</v>
      </c>
    </row>
    <row r="1683" spans="1:12" ht="15">
      <c r="A1683">
        <v>405376</v>
      </c>
      <c r="B1683" t="str">
        <f t="shared" si="70"/>
        <v>SEVROLL spodná krycia lišta 3m 10mm čierna lesk</v>
      </c>
      <c r="C1683" s="209">
        <f t="shared" si="71"/>
        <v>35.40878</v>
      </c>
      <c r="D1683" t="s">
        <v>5430</v>
      </c>
      <c r="E1683" t="s">
        <v>6479</v>
      </c>
      <c r="F1683" t="s">
        <v>7047</v>
      </c>
      <c r="G1683" t="s">
        <v>7618</v>
      </c>
      <c r="H1683" s="214">
        <v>1019.83744</v>
      </c>
      <c r="I1683" s="425">
        <v>35.40878</v>
      </c>
      <c r="J1683" s="91">
        <v>127.33</v>
      </c>
      <c r="K1683" s="425">
        <v>11555.046969999999</v>
      </c>
      <c r="L1683" s="542" t="s">
        <v>621</v>
      </c>
    </row>
    <row r="1684" spans="1:12" ht="15">
      <c r="A1684">
        <v>405377</v>
      </c>
      <c r="B1684" t="str">
        <f t="shared" si="70"/>
        <v>SEVROLL horná vodiaca lišta 1,7m čierna lesk</v>
      </c>
      <c r="C1684" s="209">
        <f t="shared" si="71"/>
        <v>12.41356</v>
      </c>
      <c r="D1684" t="s">
        <v>5431</v>
      </c>
      <c r="E1684" t="s">
        <v>6480</v>
      </c>
      <c r="F1684" t="s">
        <v>7048</v>
      </c>
      <c r="G1684" t="s">
        <v>7619</v>
      </c>
      <c r="H1684" s="214">
        <v>333.06623999999999</v>
      </c>
      <c r="I1684" s="425">
        <v>12.41356</v>
      </c>
      <c r="J1684" s="91">
        <v>61.48</v>
      </c>
      <c r="K1684" s="425">
        <v>3773.7348200000001</v>
      </c>
      <c r="L1684" s="542" t="s">
        <v>621</v>
      </c>
    </row>
    <row r="1685" spans="1:12" ht="15">
      <c r="A1685">
        <v>405379</v>
      </c>
      <c r="B1685" t="str">
        <f t="shared" si="70"/>
        <v>SEVROLL horná vod.lišta 2,35m čierna lesk</v>
      </c>
      <c r="C1685" s="209">
        <f t="shared" si="71"/>
        <v>17.13794</v>
      </c>
      <c r="D1685" t="s">
        <v>5432</v>
      </c>
      <c r="E1685" t="s">
        <v>6481</v>
      </c>
      <c r="F1685" t="s">
        <v>7049</v>
      </c>
      <c r="G1685" t="s">
        <v>7620</v>
      </c>
      <c r="H1685" s="214">
        <v>459.74527999999998</v>
      </c>
      <c r="I1685" s="425">
        <v>17.13794</v>
      </c>
      <c r="J1685" s="91">
        <v>85.01</v>
      </c>
      <c r="K1685" s="425">
        <v>5209.0442000000003</v>
      </c>
      <c r="L1685" s="542" t="s">
        <v>621</v>
      </c>
    </row>
    <row r="1686" spans="1:12" ht="15">
      <c r="A1686">
        <v>405382</v>
      </c>
      <c r="B1686" t="str">
        <f t="shared" si="70"/>
        <v>SEVROLL horná vodiaca lišta 3m čierna lesk</v>
      </c>
      <c r="C1686" s="209">
        <f t="shared" si="71"/>
        <v>21.83822</v>
      </c>
      <c r="D1686" t="s">
        <v>5433</v>
      </c>
      <c r="E1686" t="s">
        <v>6482</v>
      </c>
      <c r="F1686" t="s">
        <v>7050</v>
      </c>
      <c r="G1686" t="s">
        <v>7621</v>
      </c>
      <c r="H1686" s="214">
        <v>586.42431999999997</v>
      </c>
      <c r="I1686" s="425">
        <v>21.83822</v>
      </c>
      <c r="J1686" s="91">
        <v>108.49</v>
      </c>
      <c r="K1686" s="425">
        <v>6644.3535899999997</v>
      </c>
      <c r="L1686" s="542" t="s">
        <v>621</v>
      </c>
    </row>
    <row r="1687" spans="1:12" ht="15">
      <c r="A1687">
        <v>405392</v>
      </c>
      <c r="B1687" t="str">
        <f t="shared" si="70"/>
        <v>SEVROLL spojovacia lišta H18 3m čierna lesk</v>
      </c>
      <c r="C1687" s="209">
        <f t="shared" si="71"/>
        <v>18.077999999999999</v>
      </c>
      <c r="D1687" t="s">
        <v>5434</v>
      </c>
      <c r="E1687" t="s">
        <v>6483</v>
      </c>
      <c r="F1687" t="s">
        <v>7051</v>
      </c>
      <c r="G1687" t="s">
        <v>7622</v>
      </c>
      <c r="H1687" s="214">
        <v>485.36576000000002</v>
      </c>
      <c r="I1687" s="425">
        <v>18.077999999999999</v>
      </c>
      <c r="J1687" s="91">
        <v>64.03</v>
      </c>
      <c r="K1687" s="425">
        <v>5499.3314899999996</v>
      </c>
      <c r="L1687" s="542" t="s">
        <v>621</v>
      </c>
    </row>
    <row r="1688" spans="1:12" ht="15">
      <c r="A1688">
        <v>405393</v>
      </c>
      <c r="B1688" t="str">
        <f t="shared" si="70"/>
        <v>SEVROLL Elegant sp.ved. 1,7m čierna lesk</v>
      </c>
      <c r="C1688" s="209">
        <f t="shared" si="71"/>
        <v>11.73865</v>
      </c>
      <c r="D1688" t="s">
        <v>5435</v>
      </c>
      <c r="E1688" t="s">
        <v>6484</v>
      </c>
      <c r="F1688" t="s">
        <v>7052</v>
      </c>
      <c r="G1688" t="s">
        <v>7623</v>
      </c>
      <c r="H1688" s="214">
        <v>315.27424000000002</v>
      </c>
      <c r="I1688" s="425">
        <v>11.73865</v>
      </c>
      <c r="J1688" s="91">
        <v>41.72</v>
      </c>
      <c r="K1688" s="425">
        <v>3572.1464099999998</v>
      </c>
      <c r="L1688" s="542" t="s">
        <v>621</v>
      </c>
    </row>
    <row r="1689" spans="1:12" ht="15">
      <c r="A1689">
        <v>405403</v>
      </c>
      <c r="B1689" t="str">
        <f t="shared" si="70"/>
        <v>SEVROLL Elegant spod.vedenie 3m čierna lesk</v>
      </c>
      <c r="C1689" s="209">
        <f t="shared" si="71"/>
        <v>20.681229999999999</v>
      </c>
      <c r="D1689" t="s">
        <v>5436</v>
      </c>
      <c r="E1689" t="s">
        <v>6485</v>
      </c>
      <c r="F1689" t="s">
        <v>7053</v>
      </c>
      <c r="G1689" t="s">
        <v>7624</v>
      </c>
      <c r="H1689" s="214">
        <v>555.11040000000003</v>
      </c>
      <c r="I1689" s="425">
        <v>20.681229999999999</v>
      </c>
      <c r="J1689" s="91">
        <v>73.599999999999994</v>
      </c>
      <c r="K1689" s="425">
        <v>6289.558</v>
      </c>
      <c r="L1689" s="542" t="s">
        <v>621</v>
      </c>
    </row>
    <row r="1690" spans="1:12" ht="15">
      <c r="A1690">
        <v>405404</v>
      </c>
      <c r="B1690" t="str">
        <f t="shared" si="70"/>
        <v>SEVROLL Elegant spod.ved.4,05m čierna lesk</v>
      </c>
      <c r="C1690" s="209">
        <f t="shared" si="71"/>
        <v>28.008849999999999</v>
      </c>
      <c r="D1690" t="s">
        <v>5437</v>
      </c>
      <c r="E1690" t="s">
        <v>6486</v>
      </c>
      <c r="F1690" t="s">
        <v>7054</v>
      </c>
      <c r="G1690" t="s">
        <v>7625</v>
      </c>
      <c r="H1690" s="214">
        <v>751.53408000000002</v>
      </c>
      <c r="I1690" s="425">
        <v>28.008849999999999</v>
      </c>
      <c r="J1690" s="91">
        <v>99.34</v>
      </c>
      <c r="K1690" s="425">
        <v>8515.0939199999993</v>
      </c>
      <c r="L1690" s="542" t="s">
        <v>621</v>
      </c>
    </row>
    <row r="1691" spans="1:12" ht="15">
      <c r="A1691">
        <v>405406</v>
      </c>
      <c r="B1691" t="str">
        <f t="shared" si="70"/>
        <v>SEVROLL Elegant spodné vedenie 6m čierna lesk</v>
      </c>
      <c r="C1691" s="209">
        <f t="shared" si="71"/>
        <v>41.362459999999999</v>
      </c>
      <c r="D1691" t="s">
        <v>5438</v>
      </c>
      <c r="E1691" t="s">
        <v>6487</v>
      </c>
      <c r="F1691" t="s">
        <v>7055</v>
      </c>
      <c r="G1691" t="s">
        <v>7626</v>
      </c>
      <c r="H1691" s="214">
        <v>1110.2208000000001</v>
      </c>
      <c r="I1691" s="425">
        <v>41.362459999999999</v>
      </c>
      <c r="J1691" s="91">
        <v>147.18</v>
      </c>
      <c r="K1691" s="425">
        <v>12579.116029999999</v>
      </c>
      <c r="L1691" s="542" t="s">
        <v>622</v>
      </c>
    </row>
    <row r="1692" spans="1:12" ht="15">
      <c r="A1692">
        <v>405407</v>
      </c>
      <c r="B1692" t="str">
        <f t="shared" si="70"/>
        <v>SEVROLL Gemini horné vedenie 1,7m čierna lesk</v>
      </c>
      <c r="C1692" s="209">
        <f t="shared" si="71"/>
        <v>21.35614</v>
      </c>
      <c r="D1692" t="s">
        <v>5439</v>
      </c>
      <c r="E1692" t="s">
        <v>6488</v>
      </c>
      <c r="F1692" t="s">
        <v>7056</v>
      </c>
      <c r="G1692" t="s">
        <v>7627</v>
      </c>
      <c r="H1692" s="214">
        <v>547.99360000000001</v>
      </c>
      <c r="I1692" s="425">
        <v>21.35614</v>
      </c>
      <c r="J1692" s="91">
        <v>76.52</v>
      </c>
      <c r="K1692" s="425">
        <v>6208.9226399999998</v>
      </c>
      <c r="L1692" s="542" t="s">
        <v>621</v>
      </c>
    </row>
    <row r="1693" spans="1:12" ht="15">
      <c r="A1693">
        <v>405423</v>
      </c>
      <c r="B1693" t="str">
        <f t="shared" si="70"/>
        <v>SEVROLL Gemini horné vedenie 3m čierna lesk</v>
      </c>
      <c r="C1693" s="209">
        <f t="shared" si="71"/>
        <v>37.626339999999999</v>
      </c>
      <c r="D1693" t="s">
        <v>5440</v>
      </c>
      <c r="E1693" t="s">
        <v>6489</v>
      </c>
      <c r="F1693" t="s">
        <v>7057</v>
      </c>
      <c r="G1693" t="s">
        <v>7628</v>
      </c>
      <c r="H1693" s="214">
        <v>965.74976000000004</v>
      </c>
      <c r="I1693" s="425">
        <v>37.626339999999999</v>
      </c>
      <c r="J1693" s="91">
        <v>135.08000000000001</v>
      </c>
      <c r="K1693" s="425">
        <v>10942.21823</v>
      </c>
      <c r="L1693" s="542" t="s">
        <v>621</v>
      </c>
    </row>
    <row r="1694" spans="1:12" ht="15">
      <c r="A1694">
        <v>405425</v>
      </c>
      <c r="B1694" t="str">
        <f t="shared" si="70"/>
        <v>SEVROLL Gemini horné vedenie 4,05m čierna lesk</v>
      </c>
      <c r="C1694" s="209">
        <f t="shared" si="71"/>
        <v>50.787129999999998</v>
      </c>
      <c r="D1694" t="s">
        <v>5441</v>
      </c>
      <c r="E1694" t="s">
        <v>6490</v>
      </c>
      <c r="F1694" t="s">
        <v>7058</v>
      </c>
      <c r="G1694" t="s">
        <v>7629</v>
      </c>
      <c r="H1694" s="214">
        <v>1303.7977599999999</v>
      </c>
      <c r="I1694" s="425">
        <v>50.787129999999998</v>
      </c>
      <c r="J1694" s="91">
        <v>182.35</v>
      </c>
      <c r="K1694" s="425">
        <v>14772.397790000001</v>
      </c>
      <c r="L1694" s="542" t="s">
        <v>621</v>
      </c>
    </row>
    <row r="1695" spans="1:12" ht="15">
      <c r="A1695">
        <v>405426</v>
      </c>
      <c r="B1695" t="str">
        <f t="shared" si="70"/>
        <v>SEVROLL Gemini horné vedenie 6m čierna lesk</v>
      </c>
      <c r="C1695" s="209">
        <f t="shared" si="71"/>
        <v>75.276790000000005</v>
      </c>
      <c r="D1695" t="s">
        <v>5442</v>
      </c>
      <c r="E1695" t="s">
        <v>6491</v>
      </c>
      <c r="F1695" t="s">
        <v>7059</v>
      </c>
      <c r="G1695" t="s">
        <v>7630</v>
      </c>
      <c r="H1695" s="214">
        <v>1932.9228800000001</v>
      </c>
      <c r="I1695" s="425">
        <v>75.276790000000005</v>
      </c>
      <c r="J1695" s="91">
        <v>270.14</v>
      </c>
      <c r="K1695" s="425">
        <v>21900.563539999999</v>
      </c>
      <c r="L1695" s="542" t="s">
        <v>622</v>
      </c>
    </row>
    <row r="1696" spans="1:12" ht="15">
      <c r="A1696">
        <v>405427</v>
      </c>
      <c r="B1696" t="str">
        <f t="shared" si="70"/>
        <v>SEVROLL maska Elegant II 1,7m čierna lesk</v>
      </c>
      <c r="C1696" s="209">
        <f t="shared" si="71"/>
        <v>3.7843300000000002</v>
      </c>
      <c r="D1696" t="s">
        <v>5443</v>
      </c>
      <c r="E1696" t="s">
        <v>6492</v>
      </c>
      <c r="F1696" t="s">
        <v>7060</v>
      </c>
      <c r="G1696" t="s">
        <v>7631</v>
      </c>
      <c r="H1696" s="214">
        <v>104.61696000000001</v>
      </c>
      <c r="I1696" s="425">
        <v>3.7843300000000002</v>
      </c>
      <c r="J1696" s="91">
        <v>12.51</v>
      </c>
      <c r="K1696" s="425">
        <v>1185.33977</v>
      </c>
      <c r="L1696" s="542" t="s">
        <v>621</v>
      </c>
    </row>
    <row r="1697" spans="1:12" ht="15">
      <c r="A1697">
        <v>405428</v>
      </c>
      <c r="B1697" t="str">
        <f t="shared" si="70"/>
        <v>SEVROLL maska Elegant II 3m čierna lesk</v>
      </c>
      <c r="C1697" s="209">
        <f t="shared" si="71"/>
        <v>6.6527000000000003</v>
      </c>
      <c r="D1697" t="s">
        <v>5444</v>
      </c>
      <c r="E1697" t="s">
        <v>6493</v>
      </c>
      <c r="F1697" t="s">
        <v>7061</v>
      </c>
      <c r="G1697" t="s">
        <v>7632</v>
      </c>
      <c r="H1697" s="214">
        <v>184.32512</v>
      </c>
      <c r="I1697" s="425">
        <v>6.6527000000000003</v>
      </c>
      <c r="J1697" s="91">
        <v>22.08</v>
      </c>
      <c r="K1697" s="425">
        <v>2088.4558000000002</v>
      </c>
      <c r="L1697" s="542" t="s">
        <v>621</v>
      </c>
    </row>
    <row r="1698" spans="1:12" ht="15">
      <c r="A1698">
        <v>405429</v>
      </c>
      <c r="B1698" t="str">
        <f t="shared" si="70"/>
        <v>SEVROLL maska Elegant II 4,05m čierna lesk</v>
      </c>
      <c r="C1698" s="209">
        <f t="shared" si="71"/>
        <v>8.9907900000000005</v>
      </c>
      <c r="D1698" t="s">
        <v>5445</v>
      </c>
      <c r="E1698" t="s">
        <v>6494</v>
      </c>
      <c r="F1698" t="s">
        <v>7062</v>
      </c>
      <c r="G1698" t="s">
        <v>7633</v>
      </c>
      <c r="H1698" s="214">
        <v>249.08799999999999</v>
      </c>
      <c r="I1698" s="425">
        <v>8.9907900000000005</v>
      </c>
      <c r="J1698" s="91">
        <v>29.79</v>
      </c>
      <c r="K1698" s="425">
        <v>2822.2375699999998</v>
      </c>
      <c r="L1698" s="542" t="s">
        <v>621</v>
      </c>
    </row>
    <row r="1699" spans="1:12" ht="15">
      <c r="A1699">
        <v>405430</v>
      </c>
      <c r="B1699" t="str">
        <f t="shared" si="70"/>
        <v>SEVROLL maska Elegant II 6m čierna lesk</v>
      </c>
      <c r="C1699" s="209">
        <f t="shared" si="71"/>
        <v>13.30541</v>
      </c>
      <c r="D1699" t="s">
        <v>5446</v>
      </c>
      <c r="E1699" t="s">
        <v>6495</v>
      </c>
      <c r="F1699" t="s">
        <v>7063</v>
      </c>
      <c r="G1699" t="s">
        <v>7634</v>
      </c>
      <c r="H1699" s="214">
        <v>367.93856</v>
      </c>
      <c r="I1699" s="425">
        <v>13.30541</v>
      </c>
      <c r="J1699" s="91">
        <v>44.16</v>
      </c>
      <c r="K1699" s="425">
        <v>4168.8480799999998</v>
      </c>
      <c r="L1699" s="542" t="s">
        <v>622</v>
      </c>
    </row>
    <row r="1700" spans="1:12" ht="15">
      <c r="A1700">
        <v>88049</v>
      </c>
      <c r="B1700" t="e">
        <f t="shared" si="70"/>
        <v>#N/A</v>
      </c>
      <c r="C1700" s="209" t="e">
        <f t="shared" si="71"/>
        <v>#N/A</v>
      </c>
      <c r="D1700" t="s">
        <v>5447</v>
      </c>
      <c r="E1700" t="e">
        <v>#N/A</v>
      </c>
      <c r="F1700" t="e">
        <v>#N/A</v>
      </c>
      <c r="G1700" t="e">
        <v>#N/A</v>
      </c>
      <c r="H1700" s="214">
        <v>819.30114000000003</v>
      </c>
      <c r="I1700" s="425" t="e">
        <v>#N/A</v>
      </c>
      <c r="J1700" s="91">
        <v>153.01374999999999</v>
      </c>
      <c r="K1700" s="425">
        <v>12338.66023</v>
      </c>
      <c r="L1700" s="542" t="s">
        <v>622</v>
      </c>
    </row>
    <row r="1701" spans="1:12" ht="15">
      <c r="A1701">
        <v>88083</v>
      </c>
      <c r="B1701" t="e">
        <f t="shared" si="70"/>
        <v>#N/A</v>
      </c>
      <c r="C1701" s="209" t="e">
        <f t="shared" si="71"/>
        <v>#N/A</v>
      </c>
      <c r="D1701" t="s">
        <v>5448</v>
      </c>
      <c r="E1701" t="e">
        <v>#N/A</v>
      </c>
      <c r="F1701" t="e">
        <v>#N/A</v>
      </c>
      <c r="G1701" t="e">
        <v>#N/A</v>
      </c>
      <c r="H1701" s="214">
        <v>99.766800000000003</v>
      </c>
      <c r="I1701" s="425" t="e">
        <v>#N/A</v>
      </c>
      <c r="J1701" s="91">
        <v>18.632580000000001</v>
      </c>
      <c r="K1701" s="425">
        <v>0</v>
      </c>
      <c r="L1701" s="542" t="s">
        <v>622</v>
      </c>
    </row>
    <row r="1702" spans="1:12" ht="15">
      <c r="A1702">
        <v>98063</v>
      </c>
      <c r="B1702" t="str">
        <f t="shared" ref="B1702:B1721" si="72">IF($A$2=1,D1702,IF($A$2=2,F1702,IF($A$2=3,G1702,IF($A$2=4,E1702,"zadat jazyk"))))</f>
        <v>VOĽNÁ karta</v>
      </c>
      <c r="C1702" s="209" t="e">
        <f t="shared" ref="C1702:C1721" si="73">IF($A$2=1,H1702,IF($A$2=2,I1702,IF($A$2=3,J1702,IF($A$2=4,K1702,"zadat jazyk"))))</f>
        <v>#N/A</v>
      </c>
      <c r="D1702" t="s">
        <v>5449</v>
      </c>
      <c r="E1702" t="s">
        <v>6496</v>
      </c>
      <c r="F1702" t="s">
        <v>7064</v>
      </c>
      <c r="G1702" t="s">
        <v>7635</v>
      </c>
      <c r="H1702" s="214">
        <v>0</v>
      </c>
      <c r="I1702" s="425" t="e">
        <v>#N/A</v>
      </c>
      <c r="J1702" s="91">
        <v>0</v>
      </c>
      <c r="K1702" s="425">
        <v>0</v>
      </c>
      <c r="L1702" s="542" t="s">
        <v>622</v>
      </c>
    </row>
    <row r="1703" spans="1:12" ht="15">
      <c r="A1703">
        <v>364527</v>
      </c>
      <c r="B1703" t="str">
        <f t="shared" si="72"/>
        <v>SEVROLL Karat úchytová lišta 2,7m RAL9005 mat</v>
      </c>
      <c r="C1703" s="209" t="e">
        <f t="shared" si="73"/>
        <v>#N/A</v>
      </c>
      <c r="D1703" t="s">
        <v>5450</v>
      </c>
      <c r="E1703" t="s">
        <v>6497</v>
      </c>
      <c r="F1703" t="s">
        <v>7065</v>
      </c>
      <c r="G1703" t="s">
        <v>7636</v>
      </c>
      <c r="H1703" s="214">
        <v>0</v>
      </c>
      <c r="I1703" s="425" t="e">
        <v>#N/A</v>
      </c>
      <c r="J1703" s="91">
        <v>0</v>
      </c>
      <c r="K1703" s="425">
        <v>0</v>
      </c>
      <c r="L1703" s="542" t="s">
        <v>622</v>
      </c>
    </row>
    <row r="1704" spans="1:12" ht="15">
      <c r="A1704">
        <v>364633</v>
      </c>
      <c r="B1704" t="str">
        <f t="shared" si="72"/>
        <v/>
      </c>
      <c r="C1704" s="209">
        <f t="shared" si="73"/>
        <v>64.020219999999995</v>
      </c>
      <c r="D1704" t="s">
        <v>5451</v>
      </c>
      <c r="E1704" t="s">
        <v>6498</v>
      </c>
      <c r="F1704" t="s">
        <v>84</v>
      </c>
      <c r="G1704" t="s">
        <v>7637</v>
      </c>
      <c r="H1704" s="214">
        <v>1843.96288</v>
      </c>
      <c r="I1704" s="425">
        <v>64.020219999999995</v>
      </c>
      <c r="J1704" s="91">
        <v>217.91</v>
      </c>
      <c r="K1704" s="425">
        <v>20892.62154</v>
      </c>
      <c r="L1704" s="542" t="s">
        <v>622</v>
      </c>
    </row>
    <row r="1705" spans="1:12" ht="15">
      <c r="A1705">
        <v>365378</v>
      </c>
      <c r="B1705" t="str">
        <f t="shared" si="72"/>
        <v/>
      </c>
      <c r="C1705" s="209">
        <f t="shared" si="73"/>
        <v>20.295570000000001</v>
      </c>
      <c r="D1705" t="s">
        <v>5452</v>
      </c>
      <c r="E1705" t="s">
        <v>6499</v>
      </c>
      <c r="F1705" t="s">
        <v>84</v>
      </c>
      <c r="G1705" t="s">
        <v>7638</v>
      </c>
      <c r="H1705" s="214">
        <v>584.28927999999996</v>
      </c>
      <c r="I1705" s="425">
        <v>20.295570000000001</v>
      </c>
      <c r="J1705" s="91">
        <v>69.05</v>
      </c>
      <c r="K1705" s="425">
        <v>6620.1629800000001</v>
      </c>
      <c r="L1705" s="542" t="s">
        <v>622</v>
      </c>
    </row>
    <row r="1706" spans="1:12" ht="15">
      <c r="A1706">
        <v>381264</v>
      </c>
      <c r="B1706" t="str">
        <f t="shared" si="72"/>
        <v>SEVROLL sada kovania Galaxy B 50kg + vedenie na stenu 2,5m</v>
      </c>
      <c r="C1706" s="209" t="e">
        <f t="shared" si="73"/>
        <v>#N/A</v>
      </c>
      <c r="D1706" t="s">
        <v>5453</v>
      </c>
      <c r="E1706" t="s">
        <v>84</v>
      </c>
      <c r="F1706" t="s">
        <v>7066</v>
      </c>
      <c r="G1706" t="s">
        <v>84</v>
      </c>
      <c r="H1706" s="214">
        <v>0</v>
      </c>
      <c r="I1706" s="425" t="e">
        <v>#N/A</v>
      </c>
      <c r="J1706" s="91">
        <v>0</v>
      </c>
      <c r="K1706" s="425">
        <v>0</v>
      </c>
      <c r="L1706" s="542" t="s">
        <v>620</v>
      </c>
    </row>
    <row r="1707" spans="1:12" ht="15">
      <c r="A1707">
        <v>310480</v>
      </c>
      <c r="B1707" t="str">
        <f t="shared" si="72"/>
        <v>SEVROLL Oaza II úchytová lišta 2,7m RAL9003</v>
      </c>
      <c r="C1707" s="209" t="e">
        <f t="shared" si="73"/>
        <v>#N/A</v>
      </c>
      <c r="D1707" t="s">
        <v>5454</v>
      </c>
      <c r="E1707" t="s">
        <v>6500</v>
      </c>
      <c r="F1707" t="s">
        <v>7067</v>
      </c>
      <c r="G1707" t="s">
        <v>7639</v>
      </c>
      <c r="H1707" s="214">
        <v>0</v>
      </c>
      <c r="I1707" s="425" t="e">
        <v>#N/A</v>
      </c>
      <c r="J1707" s="91">
        <v>0</v>
      </c>
      <c r="K1707" s="425">
        <v>0</v>
      </c>
      <c r="L1707" s="542" t="s">
        <v>622</v>
      </c>
    </row>
    <row r="1708" spans="1:12" ht="15">
      <c r="A1708">
        <v>310515</v>
      </c>
      <c r="B1708" t="e">
        <f t="shared" si="72"/>
        <v>#N/A</v>
      </c>
      <c r="C1708" s="209" t="e">
        <f t="shared" si="73"/>
        <v>#N/A</v>
      </c>
      <c r="D1708" t="s">
        <v>5455</v>
      </c>
      <c r="E1708" t="e">
        <v>#N/A</v>
      </c>
      <c r="F1708" t="e">
        <v>#N/A</v>
      </c>
      <c r="G1708" t="e">
        <v>#N/A</v>
      </c>
      <c r="H1708" s="214">
        <v>327.60000000000002</v>
      </c>
      <c r="I1708" s="425" t="e">
        <v>#N/A</v>
      </c>
      <c r="J1708" s="91">
        <v>56.097470000000001</v>
      </c>
      <c r="K1708" s="425">
        <v>4103.97732</v>
      </c>
      <c r="L1708" s="542" t="s">
        <v>622</v>
      </c>
    </row>
    <row r="1709" spans="1:12" ht="15">
      <c r="A1709">
        <v>310516</v>
      </c>
      <c r="B1709" t="e">
        <f t="shared" si="72"/>
        <v>#N/A</v>
      </c>
      <c r="C1709" s="209" t="e">
        <f t="shared" si="73"/>
        <v>#N/A</v>
      </c>
      <c r="D1709" t="s">
        <v>5456</v>
      </c>
      <c r="E1709" t="e">
        <v>#N/A</v>
      </c>
      <c r="F1709" t="e">
        <v>#N/A</v>
      </c>
      <c r="G1709" t="e">
        <v>#N/A</v>
      </c>
      <c r="H1709" s="214">
        <v>507.495</v>
      </c>
      <c r="I1709" s="425" t="e">
        <v>#N/A</v>
      </c>
      <c r="J1709" s="91">
        <v>86.902289999999994</v>
      </c>
      <c r="K1709" s="425">
        <v>6993.3508499999998</v>
      </c>
      <c r="L1709" s="542" t="s">
        <v>621</v>
      </c>
    </row>
    <row r="1710" spans="1:12" ht="15">
      <c r="A1710">
        <v>310841</v>
      </c>
      <c r="B1710" t="e">
        <f t="shared" si="72"/>
        <v>#N/A</v>
      </c>
      <c r="C1710" s="209" t="e">
        <f t="shared" si="73"/>
        <v>#N/A</v>
      </c>
      <c r="D1710" t="s">
        <v>5457</v>
      </c>
      <c r="E1710" t="e">
        <v>#N/A</v>
      </c>
      <c r="F1710" t="e">
        <v>#N/A</v>
      </c>
      <c r="G1710" t="e">
        <v>#N/A</v>
      </c>
      <c r="H1710" s="214">
        <v>815.4</v>
      </c>
      <c r="I1710" s="425" t="e">
        <v>#N/A</v>
      </c>
      <c r="J1710" s="91">
        <v>114.43922999999999</v>
      </c>
      <c r="K1710" s="425">
        <v>10172.69263</v>
      </c>
      <c r="L1710" s="542" t="s">
        <v>621</v>
      </c>
    </row>
    <row r="1711" spans="1:12" ht="15">
      <c r="A1711">
        <v>276774</v>
      </c>
      <c r="B1711" t="str">
        <f t="shared" si="72"/>
        <v>MSE-Faworyt II úchytová liš.2,7m biela</v>
      </c>
      <c r="C1711" s="209" t="e">
        <f t="shared" si="73"/>
        <v>#N/A</v>
      </c>
      <c r="D1711" t="s">
        <v>5458</v>
      </c>
      <c r="E1711" t="s">
        <v>6501</v>
      </c>
      <c r="F1711" t="s">
        <v>7068</v>
      </c>
      <c r="G1711" t="s">
        <v>7640</v>
      </c>
      <c r="H1711" s="214">
        <v>0</v>
      </c>
      <c r="I1711" s="425" t="e">
        <v>#N/A</v>
      </c>
      <c r="J1711" s="91">
        <v>52.85098</v>
      </c>
      <c r="K1711" s="425">
        <v>0</v>
      </c>
      <c r="L1711" s="542" t="s">
        <v>622</v>
      </c>
    </row>
    <row r="1712" spans="1:12" ht="15">
      <c r="A1712">
        <v>276775</v>
      </c>
      <c r="B1712" t="str">
        <f t="shared" si="72"/>
        <v>MSE-Faworyt II úchytová liš.2,7m biela</v>
      </c>
      <c r="C1712" s="209" t="e">
        <f t="shared" si="73"/>
        <v>#N/A</v>
      </c>
      <c r="D1712" t="s">
        <v>5459</v>
      </c>
      <c r="E1712" t="s">
        <v>6502</v>
      </c>
      <c r="F1712" t="s">
        <v>7068</v>
      </c>
      <c r="G1712" t="s">
        <v>7641</v>
      </c>
      <c r="H1712" s="214">
        <v>0</v>
      </c>
      <c r="I1712" s="425" t="e">
        <v>#N/A</v>
      </c>
      <c r="J1712" s="91">
        <v>52.85098</v>
      </c>
      <c r="K1712" s="425">
        <v>0</v>
      </c>
      <c r="L1712" s="542" t="s">
        <v>622</v>
      </c>
    </row>
    <row r="1713" spans="1:12" ht="15">
      <c r="A1713">
        <v>276880</v>
      </c>
      <c r="B1713" t="str">
        <f t="shared" si="72"/>
        <v>SEVROLL Gemini horné vedenie 4,05m RAL9203 l</v>
      </c>
      <c r="C1713" s="209" t="e">
        <f t="shared" si="73"/>
        <v>#N/A</v>
      </c>
      <c r="D1713" t="s">
        <v>5460</v>
      </c>
      <c r="E1713" t="s">
        <v>6503</v>
      </c>
      <c r="F1713" t="s">
        <v>7069</v>
      </c>
      <c r="G1713" t="s">
        <v>7642</v>
      </c>
      <c r="H1713" s="214">
        <v>0</v>
      </c>
      <c r="I1713" s="425" t="e">
        <v>#N/A</v>
      </c>
      <c r="J1713" s="91">
        <v>0</v>
      </c>
      <c r="K1713" s="425">
        <v>0</v>
      </c>
      <c r="L1713" s="542" t="s">
        <v>622</v>
      </c>
    </row>
    <row r="1714" spans="1:12" ht="15">
      <c r="A1714">
        <v>276883</v>
      </c>
      <c r="B1714" t="str">
        <f t="shared" si="72"/>
        <v>SEVROLL Factor 18 II 2,07m RAL9203 lesk</v>
      </c>
      <c r="C1714" s="209" t="e">
        <f t="shared" si="73"/>
        <v>#N/A</v>
      </c>
      <c r="D1714" t="s">
        <v>5461</v>
      </c>
      <c r="E1714" t="s">
        <v>6504</v>
      </c>
      <c r="F1714" t="s">
        <v>7070</v>
      </c>
      <c r="G1714" t="s">
        <v>7643</v>
      </c>
      <c r="H1714" s="214">
        <v>0</v>
      </c>
      <c r="I1714" s="425" t="e">
        <v>#N/A</v>
      </c>
      <c r="J1714" s="91">
        <v>0</v>
      </c>
      <c r="K1714" s="425">
        <v>0</v>
      </c>
      <c r="L1714" s="542" t="s">
        <v>622</v>
      </c>
    </row>
    <row r="1715" spans="1:12" ht="15">
      <c r="A1715">
        <v>403727</v>
      </c>
      <c r="B1715" t="str">
        <f t="shared" si="72"/>
        <v>SEVROLL Top horné vedenie jednoduché 2,35m strieborná</v>
      </c>
      <c r="C1715" s="209">
        <f t="shared" si="73"/>
        <v>28.828379999999999</v>
      </c>
      <c r="D1715" t="s">
        <v>5462</v>
      </c>
      <c r="E1715" t="s">
        <v>6505</v>
      </c>
      <c r="F1715" t="s">
        <v>7071</v>
      </c>
      <c r="G1715" t="s">
        <v>7644</v>
      </c>
      <c r="H1715" s="214">
        <v>830.53056000000004</v>
      </c>
      <c r="I1715" s="425">
        <v>28.828379999999999</v>
      </c>
      <c r="J1715" s="91">
        <v>98.15</v>
      </c>
      <c r="K1715" s="425">
        <v>9410.1464099999994</v>
      </c>
      <c r="L1715" s="542" t="s">
        <v>622</v>
      </c>
    </row>
    <row r="1716" spans="1:12" ht="15">
      <c r="A1716">
        <v>404234</v>
      </c>
      <c r="B1716" t="e">
        <f t="shared" si="72"/>
        <v>#N/A</v>
      </c>
      <c r="C1716" s="209" t="e">
        <f t="shared" si="73"/>
        <v>#N/A</v>
      </c>
      <c r="D1716" t="s">
        <v>5463</v>
      </c>
      <c r="E1716" t="e">
        <v>#N/A</v>
      </c>
      <c r="F1716" t="e">
        <v>#N/A</v>
      </c>
      <c r="G1716" t="e">
        <v>#N/A</v>
      </c>
      <c r="H1716" s="214">
        <v>552.68110999999999</v>
      </c>
      <c r="I1716" s="425" t="e">
        <v>#N/A</v>
      </c>
      <c r="J1716" s="91">
        <v>103.21944999999999</v>
      </c>
      <c r="K1716" s="425">
        <v>8071.4144100000003</v>
      </c>
      <c r="L1716" s="542" t="s">
        <v>622</v>
      </c>
    </row>
    <row r="1717" spans="1:12" ht="15">
      <c r="A1717">
        <v>404235</v>
      </c>
      <c r="B1717" t="e">
        <f t="shared" si="72"/>
        <v>#N/A</v>
      </c>
      <c r="C1717" s="209" t="e">
        <f t="shared" si="73"/>
        <v>#N/A</v>
      </c>
      <c r="D1717" t="s">
        <v>5464</v>
      </c>
      <c r="E1717" t="e">
        <v>#N/A</v>
      </c>
      <c r="F1717" t="e">
        <v>#N/A</v>
      </c>
      <c r="G1717" t="e">
        <v>#N/A</v>
      </c>
      <c r="H1717" s="214">
        <v>774.86446999999998</v>
      </c>
      <c r="I1717" s="425" t="e">
        <v>#N/A</v>
      </c>
      <c r="J1717" s="91">
        <v>144.71469999999999</v>
      </c>
      <c r="K1717" s="425">
        <v>11316.20412</v>
      </c>
      <c r="L1717" s="542" t="s">
        <v>622</v>
      </c>
    </row>
    <row r="1718" spans="1:12" ht="15">
      <c r="A1718">
        <v>404237</v>
      </c>
      <c r="B1718" t="e">
        <f t="shared" si="72"/>
        <v>#N/A</v>
      </c>
      <c r="C1718" s="209" t="e">
        <f t="shared" si="73"/>
        <v>#N/A</v>
      </c>
      <c r="D1718" t="s">
        <v>5465</v>
      </c>
      <c r="E1718" t="e">
        <v>#N/A</v>
      </c>
      <c r="F1718" t="e">
        <v>#N/A</v>
      </c>
      <c r="G1718" t="e">
        <v>#N/A</v>
      </c>
      <c r="H1718" s="214">
        <v>10.42159</v>
      </c>
      <c r="I1718" s="425" t="e">
        <v>#N/A</v>
      </c>
      <c r="J1718" s="91">
        <v>1.94635</v>
      </c>
      <c r="K1718" s="425">
        <v>156.94890000000001</v>
      </c>
      <c r="L1718" s="542" t="s">
        <v>622</v>
      </c>
    </row>
    <row r="1719" spans="1:12" ht="15">
      <c r="A1719">
        <v>404307</v>
      </c>
      <c r="B1719" t="str">
        <f t="shared" si="72"/>
        <v/>
      </c>
      <c r="C1719" s="209">
        <f t="shared" si="73"/>
        <v>0</v>
      </c>
      <c r="D1719" t="s">
        <v>5466</v>
      </c>
      <c r="E1719" t="s">
        <v>6506</v>
      </c>
      <c r="F1719" t="s">
        <v>84</v>
      </c>
      <c r="G1719" t="s">
        <v>84</v>
      </c>
      <c r="H1719" s="214">
        <v>0</v>
      </c>
      <c r="I1719" s="425">
        <v>0</v>
      </c>
      <c r="J1719" s="91">
        <v>0</v>
      </c>
      <c r="K1719" s="425">
        <v>0</v>
      </c>
      <c r="L1719" s="542" t="s">
        <v>621</v>
      </c>
    </row>
    <row r="1720" spans="1:12" ht="15">
      <c r="A1720">
        <v>404308</v>
      </c>
      <c r="B1720" t="str">
        <f t="shared" si="72"/>
        <v/>
      </c>
      <c r="C1720" s="209">
        <f t="shared" si="73"/>
        <v>0</v>
      </c>
      <c r="D1720" t="s">
        <v>5467</v>
      </c>
      <c r="E1720" t="s">
        <v>6507</v>
      </c>
      <c r="F1720" t="s">
        <v>84</v>
      </c>
      <c r="G1720" t="s">
        <v>84</v>
      </c>
      <c r="H1720" s="214">
        <v>0</v>
      </c>
      <c r="I1720" s="425">
        <v>0</v>
      </c>
      <c r="J1720" s="91">
        <v>0</v>
      </c>
      <c r="K1720" s="425">
        <v>0</v>
      </c>
      <c r="L1720" s="542" t="s">
        <v>621</v>
      </c>
    </row>
    <row r="1721" spans="1:12" ht="15">
      <c r="A1721">
        <v>158870</v>
      </c>
      <c r="B1721" t="e">
        <f t="shared" si="72"/>
        <v>#N/A</v>
      </c>
      <c r="C1721" s="209" t="e">
        <f t="shared" si="73"/>
        <v>#N/A</v>
      </c>
      <c r="D1721" t="s">
        <v>5468</v>
      </c>
      <c r="E1721" t="e">
        <v>#N/A</v>
      </c>
      <c r="F1721" t="e">
        <v>#N/A</v>
      </c>
      <c r="G1721" t="e">
        <v>#N/A</v>
      </c>
      <c r="H1721" s="214">
        <v>974.75</v>
      </c>
      <c r="I1721" s="425" t="e">
        <v>#N/A</v>
      </c>
      <c r="J1721" s="91">
        <v>219.77435</v>
      </c>
      <c r="K1721" s="425">
        <v>18733.45637</v>
      </c>
      <c r="L1721" s="542" t="s">
        <v>622</v>
      </c>
    </row>
    <row r="1722" spans="1:12" ht="15">
      <c r="A1722">
        <v>158873</v>
      </c>
      <c r="B1722" t="e">
        <f t="shared" ref="B1722:B1749" si="74">IF($A$2=1,D1722,IF($A$2=2,F1722,IF($A$2=3,G1722,IF($A$2=4,E1722,"zadat jazyk"))))</f>
        <v>#N/A</v>
      </c>
      <c r="C1722" s="209" t="e">
        <f t="shared" ref="C1722:C1749" si="75">IF($A$2=1,H1722,IF($A$2=2,I1722,IF($A$2=3,J1722,IF($A$2=4,K1722,"zadat jazyk"))))</f>
        <v>#N/A</v>
      </c>
      <c r="D1722" t="s">
        <v>5469</v>
      </c>
      <c r="E1722" t="e">
        <v>#N/A</v>
      </c>
      <c r="F1722" t="e">
        <v>#N/A</v>
      </c>
      <c r="G1722" t="e">
        <v>#N/A</v>
      </c>
      <c r="H1722" s="214">
        <v>465.5</v>
      </c>
      <c r="I1722" s="425" t="e">
        <v>#N/A</v>
      </c>
      <c r="J1722" s="91">
        <v>104.95508</v>
      </c>
      <c r="K1722" s="425">
        <v>8946.3184899999997</v>
      </c>
      <c r="L1722" s="542" t="s">
        <v>622</v>
      </c>
    </row>
    <row r="1723" spans="1:12" ht="15">
      <c r="A1723">
        <v>157905</v>
      </c>
      <c r="B1723" t="e">
        <f t="shared" si="74"/>
        <v>#N/A</v>
      </c>
      <c r="C1723" s="209" t="e">
        <f t="shared" si="75"/>
        <v>#N/A</v>
      </c>
      <c r="D1723" t="s">
        <v>5470</v>
      </c>
      <c r="E1723" t="e">
        <v>#N/A</v>
      </c>
      <c r="F1723" t="e">
        <v>#N/A</v>
      </c>
      <c r="G1723" t="e">
        <v>#N/A</v>
      </c>
      <c r="H1723" s="214">
        <v>404.25</v>
      </c>
      <c r="I1723" s="425" t="e">
        <v>#N/A</v>
      </c>
      <c r="J1723" s="91">
        <v>91.145189999999999</v>
      </c>
      <c r="K1723" s="425">
        <v>7769.1713200000004</v>
      </c>
      <c r="L1723" s="542" t="s">
        <v>622</v>
      </c>
    </row>
    <row r="1724" spans="1:12" ht="15">
      <c r="A1724">
        <v>157906</v>
      </c>
      <c r="B1724" t="e">
        <f t="shared" si="74"/>
        <v>#N/A</v>
      </c>
      <c r="C1724" s="209" t="e">
        <f t="shared" si="75"/>
        <v>#N/A</v>
      </c>
      <c r="D1724" t="s">
        <v>5471</v>
      </c>
      <c r="E1724" t="e">
        <v>#N/A</v>
      </c>
      <c r="F1724" t="e">
        <v>#N/A</v>
      </c>
      <c r="G1724" t="e">
        <v>#N/A</v>
      </c>
      <c r="H1724" s="214">
        <v>595</v>
      </c>
      <c r="I1724" s="425" t="e">
        <v>#N/A</v>
      </c>
      <c r="J1724" s="91">
        <v>134.15311</v>
      </c>
      <c r="K1724" s="425">
        <v>11435.14392</v>
      </c>
      <c r="L1724" s="542" t="s">
        <v>622</v>
      </c>
    </row>
    <row r="1725" spans="1:12" ht="15">
      <c r="A1725">
        <v>157907</v>
      </c>
      <c r="B1725" t="e">
        <f t="shared" si="74"/>
        <v>#N/A</v>
      </c>
      <c r="C1725" s="209" t="e">
        <f t="shared" si="75"/>
        <v>#N/A</v>
      </c>
      <c r="D1725" t="s">
        <v>5472</v>
      </c>
      <c r="E1725" t="e">
        <v>#N/A</v>
      </c>
      <c r="F1725" t="e">
        <v>#N/A</v>
      </c>
      <c r="G1725" t="e">
        <v>#N/A</v>
      </c>
      <c r="H1725" s="214">
        <v>902.125</v>
      </c>
      <c r="I1725" s="425" t="e">
        <v>#N/A</v>
      </c>
      <c r="J1725" s="91">
        <v>203.39977999999999</v>
      </c>
      <c r="K1725" s="425">
        <v>17337.696309999999</v>
      </c>
      <c r="L1725" s="542" t="s">
        <v>622</v>
      </c>
    </row>
    <row r="1726" spans="1:12" ht="15">
      <c r="A1726">
        <v>157908</v>
      </c>
      <c r="B1726" t="e">
        <f t="shared" si="74"/>
        <v>#N/A</v>
      </c>
      <c r="C1726" s="209" t="e">
        <f t="shared" si="75"/>
        <v>#N/A</v>
      </c>
      <c r="D1726" t="s">
        <v>5473</v>
      </c>
      <c r="E1726" t="e">
        <v>#N/A</v>
      </c>
      <c r="F1726" t="e">
        <v>#N/A</v>
      </c>
      <c r="G1726" t="e">
        <v>#N/A</v>
      </c>
      <c r="H1726" s="214">
        <v>193.375</v>
      </c>
      <c r="I1726" s="425" t="e">
        <v>#N/A</v>
      </c>
      <c r="J1726" s="91">
        <v>43.599769999999999</v>
      </c>
      <c r="K1726" s="425">
        <v>3716.42191</v>
      </c>
      <c r="L1726" s="542" t="s">
        <v>622</v>
      </c>
    </row>
    <row r="1727" spans="1:12" ht="15">
      <c r="A1727">
        <v>157909</v>
      </c>
      <c r="B1727" t="e">
        <f t="shared" si="74"/>
        <v>#N/A</v>
      </c>
      <c r="C1727" s="209" t="e">
        <f t="shared" si="75"/>
        <v>#N/A</v>
      </c>
      <c r="D1727" t="s">
        <v>5474</v>
      </c>
      <c r="E1727" t="e">
        <v>#N/A</v>
      </c>
      <c r="F1727" t="e">
        <v>#N/A</v>
      </c>
      <c r="G1727" t="e">
        <v>#N/A</v>
      </c>
      <c r="H1727" s="214">
        <v>284.375</v>
      </c>
      <c r="I1727" s="425" t="e">
        <v>#N/A</v>
      </c>
      <c r="J1727" s="91">
        <v>64.117289999999997</v>
      </c>
      <c r="K1727" s="425">
        <v>5465.32629</v>
      </c>
      <c r="L1727" s="542" t="s">
        <v>622</v>
      </c>
    </row>
    <row r="1728" spans="1:12" ht="15">
      <c r="A1728">
        <v>157910</v>
      </c>
      <c r="B1728" t="e">
        <f t="shared" si="74"/>
        <v>#N/A</v>
      </c>
      <c r="C1728" s="209" t="e">
        <f t="shared" si="75"/>
        <v>#N/A</v>
      </c>
      <c r="D1728" t="s">
        <v>5475</v>
      </c>
      <c r="E1728" t="e">
        <v>#N/A</v>
      </c>
      <c r="F1728" t="e">
        <v>#N/A</v>
      </c>
      <c r="G1728" t="e">
        <v>#N/A</v>
      </c>
      <c r="H1728" s="214">
        <v>431.375</v>
      </c>
      <c r="I1728" s="425" t="e">
        <v>#N/A</v>
      </c>
      <c r="J1728" s="91">
        <v>97.260999999999996</v>
      </c>
      <c r="K1728" s="425">
        <v>8290.4794999999995</v>
      </c>
      <c r="L1728" s="542" t="s">
        <v>622</v>
      </c>
    </row>
    <row r="1729" spans="1:12" ht="15">
      <c r="A1729">
        <v>157923</v>
      </c>
      <c r="B1729" t="e">
        <f t="shared" si="74"/>
        <v>#N/A</v>
      </c>
      <c r="C1729" s="209" t="e">
        <f t="shared" si="75"/>
        <v>#N/A</v>
      </c>
      <c r="D1729" t="s">
        <v>5476</v>
      </c>
      <c r="E1729" t="e">
        <v>#N/A</v>
      </c>
      <c r="F1729" t="e">
        <v>#N/A</v>
      </c>
      <c r="G1729" t="e">
        <v>#N/A</v>
      </c>
      <c r="H1729" s="214">
        <v>161.69999999999999</v>
      </c>
      <c r="I1729" s="425" t="e">
        <v>#N/A</v>
      </c>
      <c r="J1729" s="91">
        <v>36.458080000000002</v>
      </c>
      <c r="K1729" s="425">
        <v>3107.6684700000001</v>
      </c>
      <c r="L1729" s="542" t="s">
        <v>622</v>
      </c>
    </row>
    <row r="1730" spans="1:12" ht="15">
      <c r="A1730">
        <v>157924</v>
      </c>
      <c r="B1730" t="e">
        <f t="shared" si="74"/>
        <v>#N/A</v>
      </c>
      <c r="C1730" s="209" t="e">
        <f t="shared" si="75"/>
        <v>#N/A</v>
      </c>
      <c r="D1730" t="s">
        <v>5477</v>
      </c>
      <c r="E1730" t="e">
        <v>#N/A</v>
      </c>
      <c r="F1730" t="e">
        <v>#N/A</v>
      </c>
      <c r="G1730" t="e">
        <v>#N/A</v>
      </c>
      <c r="H1730" s="214">
        <v>161.69999999999999</v>
      </c>
      <c r="I1730" s="425" t="e">
        <v>#N/A</v>
      </c>
      <c r="J1730" s="91">
        <v>36.458080000000002</v>
      </c>
      <c r="K1730" s="425">
        <v>3107.6684700000001</v>
      </c>
      <c r="L1730" s="542" t="s">
        <v>622</v>
      </c>
    </row>
    <row r="1731" spans="1:12" ht="15">
      <c r="A1731">
        <v>157925</v>
      </c>
      <c r="B1731" t="e">
        <f t="shared" si="74"/>
        <v>#N/A</v>
      </c>
      <c r="C1731" s="209" t="e">
        <f t="shared" si="75"/>
        <v>#N/A</v>
      </c>
      <c r="D1731" t="s">
        <v>5478</v>
      </c>
      <c r="E1731" t="e">
        <v>#N/A</v>
      </c>
      <c r="F1731" t="e">
        <v>#N/A</v>
      </c>
      <c r="G1731" t="e">
        <v>#N/A</v>
      </c>
      <c r="H1731" s="214">
        <v>16.537500000000001</v>
      </c>
      <c r="I1731" s="425" t="e">
        <v>#N/A</v>
      </c>
      <c r="J1731" s="91">
        <v>3.7286700000000002</v>
      </c>
      <c r="K1731" s="425">
        <v>317.82977</v>
      </c>
      <c r="L1731" s="542" t="s">
        <v>622</v>
      </c>
    </row>
    <row r="1732" spans="1:12" ht="15">
      <c r="A1732">
        <v>157926</v>
      </c>
      <c r="B1732" t="e">
        <f t="shared" si="74"/>
        <v>#N/A</v>
      </c>
      <c r="C1732" s="209" t="e">
        <f t="shared" si="75"/>
        <v>#N/A</v>
      </c>
      <c r="D1732" t="s">
        <v>5479</v>
      </c>
      <c r="E1732" t="e">
        <v>#N/A</v>
      </c>
      <c r="F1732" t="e">
        <v>#N/A</v>
      </c>
      <c r="G1732" t="e">
        <v>#N/A</v>
      </c>
      <c r="H1732" s="214">
        <v>2.1</v>
      </c>
      <c r="I1732" s="425" t="e">
        <v>#N/A</v>
      </c>
      <c r="J1732" s="91">
        <v>0.47348000000000001</v>
      </c>
      <c r="K1732" s="425">
        <v>40.359459999999999</v>
      </c>
      <c r="L1732" s="542" t="s">
        <v>621</v>
      </c>
    </row>
    <row r="1733" spans="1:12" ht="15">
      <c r="A1733">
        <v>157928</v>
      </c>
      <c r="B1733" t="e">
        <f t="shared" si="74"/>
        <v>#N/A</v>
      </c>
      <c r="C1733" s="209" t="e">
        <f t="shared" si="75"/>
        <v>#N/A</v>
      </c>
      <c r="D1733" t="s">
        <v>5480</v>
      </c>
      <c r="E1733" t="e">
        <v>#N/A</v>
      </c>
      <c r="F1733" t="e">
        <v>#N/A</v>
      </c>
      <c r="G1733" t="e">
        <v>#N/A</v>
      </c>
      <c r="H1733" s="214">
        <v>271.50799999999998</v>
      </c>
      <c r="I1733" s="425" t="e">
        <v>#N/A</v>
      </c>
      <c r="J1733" s="91">
        <v>60.566189999999999</v>
      </c>
      <c r="K1733" s="425">
        <v>5162.6313099999998</v>
      </c>
      <c r="L1733" s="542" t="s">
        <v>622</v>
      </c>
    </row>
    <row r="1734" spans="1:12" ht="15">
      <c r="A1734">
        <v>157929</v>
      </c>
      <c r="B1734" t="e">
        <f t="shared" si="74"/>
        <v>#N/A</v>
      </c>
      <c r="C1734" s="209" t="e">
        <f t="shared" si="75"/>
        <v>#N/A</v>
      </c>
      <c r="D1734" t="s">
        <v>5481</v>
      </c>
      <c r="E1734" t="e">
        <v>#N/A</v>
      </c>
      <c r="F1734" t="e">
        <v>#N/A</v>
      </c>
      <c r="G1734" t="e">
        <v>#N/A</v>
      </c>
      <c r="H1734" s="214">
        <v>271.50799999999998</v>
      </c>
      <c r="I1734" s="425" t="e">
        <v>#N/A</v>
      </c>
      <c r="J1734" s="91">
        <v>60.566189999999999</v>
      </c>
      <c r="K1734" s="425">
        <v>5162.6313099999998</v>
      </c>
      <c r="L1734" s="542" t="s">
        <v>622</v>
      </c>
    </row>
    <row r="1735" spans="1:12" ht="15">
      <c r="A1735">
        <v>157967</v>
      </c>
      <c r="B1735" t="e">
        <f t="shared" si="74"/>
        <v>#N/A</v>
      </c>
      <c r="C1735" s="209" t="e">
        <f t="shared" si="75"/>
        <v>#N/A</v>
      </c>
      <c r="D1735" t="s">
        <v>5482</v>
      </c>
      <c r="E1735" t="e">
        <v>#N/A</v>
      </c>
      <c r="F1735" t="e">
        <v>#N/A</v>
      </c>
      <c r="G1735" t="e">
        <v>#N/A</v>
      </c>
      <c r="H1735" s="214">
        <v>20.752880000000001</v>
      </c>
      <c r="I1735" s="425" t="e">
        <v>#N/A</v>
      </c>
      <c r="J1735" s="91">
        <v>2.7961100000000001</v>
      </c>
      <c r="K1735" s="425">
        <v>243.88607999999999</v>
      </c>
      <c r="L1735" s="542" t="s">
        <v>622</v>
      </c>
    </row>
    <row r="1736" spans="1:12" ht="15">
      <c r="A1736">
        <v>158010</v>
      </c>
      <c r="B1736" t="str">
        <f t="shared" si="74"/>
        <v>SEVROLL Herkules plus horné vedenie 1,2m</v>
      </c>
      <c r="C1736" s="209">
        <f t="shared" si="75"/>
        <v>17.258459999999999</v>
      </c>
      <c r="D1736" t="s">
        <v>5483</v>
      </c>
      <c r="E1736" t="s">
        <v>6508</v>
      </c>
      <c r="F1736" t="s">
        <v>7072</v>
      </c>
      <c r="G1736" t="s">
        <v>7645</v>
      </c>
      <c r="H1736" s="214">
        <v>350.84989999999999</v>
      </c>
      <c r="I1736" s="425">
        <v>17.258459999999999</v>
      </c>
      <c r="J1736" s="91">
        <v>51.32</v>
      </c>
      <c r="K1736" s="425">
        <v>4895.36366</v>
      </c>
      <c r="L1736" s="542" t="s">
        <v>622</v>
      </c>
    </row>
    <row r="1737" spans="1:12" ht="15">
      <c r="A1737">
        <v>158012</v>
      </c>
      <c r="B1737" t="str">
        <f t="shared" si="74"/>
        <v>SEVROLL vozík HP40 Herkules plus</v>
      </c>
      <c r="C1737" s="209">
        <f t="shared" si="75"/>
        <v>15.35425</v>
      </c>
      <c r="D1737" t="s">
        <v>5484</v>
      </c>
      <c r="E1737" t="s">
        <v>6509</v>
      </c>
      <c r="F1737" t="s">
        <v>7073</v>
      </c>
      <c r="G1737" t="s">
        <v>7646</v>
      </c>
      <c r="H1737" s="214">
        <v>323.95339999999999</v>
      </c>
      <c r="I1737" s="425">
        <v>15.35425</v>
      </c>
      <c r="J1737" s="91">
        <v>47.38</v>
      </c>
      <c r="K1737" s="425">
        <v>4520.08032</v>
      </c>
      <c r="L1737" s="542" t="s">
        <v>622</v>
      </c>
    </row>
    <row r="1738" spans="1:12" ht="15">
      <c r="A1738">
        <v>158014</v>
      </c>
      <c r="B1738" t="str">
        <f t="shared" si="74"/>
        <v>SEVROLL závesdverí 25 kg</v>
      </c>
      <c r="C1738" s="209">
        <f t="shared" si="75"/>
        <v>2.5068199999999998</v>
      </c>
      <c r="D1738" t="s">
        <v>5485</v>
      </c>
      <c r="E1738" t="s">
        <v>6510</v>
      </c>
      <c r="F1738" t="s">
        <v>7074</v>
      </c>
      <c r="G1738" t="s">
        <v>7647</v>
      </c>
      <c r="H1738" s="214">
        <v>57.379199999999997</v>
      </c>
      <c r="I1738" s="425">
        <v>2.5068199999999998</v>
      </c>
      <c r="J1738" s="91">
        <v>8.39</v>
      </c>
      <c r="K1738" s="425">
        <v>800.60469000000001</v>
      </c>
      <c r="L1738" s="542" t="s">
        <v>622</v>
      </c>
    </row>
    <row r="1739" spans="1:12" ht="15">
      <c r="A1739">
        <v>158755</v>
      </c>
      <c r="B1739" t="e">
        <f t="shared" si="74"/>
        <v>#N/A</v>
      </c>
      <c r="C1739" s="209" t="e">
        <f t="shared" si="75"/>
        <v>#N/A</v>
      </c>
      <c r="D1739" t="s">
        <v>5486</v>
      </c>
      <c r="E1739" t="e">
        <v>#N/A</v>
      </c>
      <c r="F1739" t="e">
        <v>#N/A</v>
      </c>
      <c r="G1739" t="e">
        <v>#N/A</v>
      </c>
      <c r="H1739" s="214">
        <v>819.30114000000003</v>
      </c>
      <c r="I1739" s="425" t="e">
        <v>#N/A</v>
      </c>
      <c r="J1739" s="91">
        <v>153.01374999999999</v>
      </c>
      <c r="K1739" s="425">
        <v>12338.66023</v>
      </c>
      <c r="L1739" s="542" t="s">
        <v>622</v>
      </c>
    </row>
    <row r="1740" spans="1:12" ht="15">
      <c r="A1740">
        <v>158756</v>
      </c>
      <c r="B1740" t="e">
        <f t="shared" si="74"/>
        <v>#N/A</v>
      </c>
      <c r="C1740" s="209" t="e">
        <f t="shared" si="75"/>
        <v>#N/A</v>
      </c>
      <c r="D1740" t="s">
        <v>5487</v>
      </c>
      <c r="E1740" t="e">
        <v>#N/A</v>
      </c>
      <c r="F1740" t="e">
        <v>#N/A</v>
      </c>
      <c r="G1740" t="e">
        <v>#N/A</v>
      </c>
      <c r="H1740" s="214">
        <v>124.03440000000001</v>
      </c>
      <c r="I1740" s="425" t="e">
        <v>#N/A</v>
      </c>
      <c r="J1740" s="91">
        <v>23.164829999999998</v>
      </c>
      <c r="K1740" s="425">
        <v>0</v>
      </c>
      <c r="L1740" s="542" t="s">
        <v>622</v>
      </c>
    </row>
    <row r="1741" spans="1:12" ht="15">
      <c r="A1741">
        <v>158757</v>
      </c>
      <c r="B1741" t="e">
        <f t="shared" si="74"/>
        <v>#N/A</v>
      </c>
      <c r="C1741" s="209" t="e">
        <f t="shared" si="75"/>
        <v>#N/A</v>
      </c>
      <c r="D1741" t="s">
        <v>5488</v>
      </c>
      <c r="E1741" t="e">
        <v>#N/A</v>
      </c>
      <c r="F1741" t="e">
        <v>#N/A</v>
      </c>
      <c r="G1741" t="e">
        <v>#N/A</v>
      </c>
      <c r="H1741" s="214">
        <v>49.883400000000002</v>
      </c>
      <c r="I1741" s="425" t="e">
        <v>#N/A</v>
      </c>
      <c r="J1741" s="91">
        <v>9.3162800000000008</v>
      </c>
      <c r="K1741" s="425">
        <v>0</v>
      </c>
      <c r="L1741" s="542" t="s">
        <v>622</v>
      </c>
    </row>
    <row r="1742" spans="1:12" ht="15">
      <c r="A1742">
        <v>158883</v>
      </c>
      <c r="B1742" t="e">
        <f t="shared" si="74"/>
        <v>#N/A</v>
      </c>
      <c r="C1742" s="209" t="e">
        <f t="shared" si="75"/>
        <v>#N/A</v>
      </c>
      <c r="D1742" t="s">
        <v>5489</v>
      </c>
      <c r="E1742" t="e">
        <v>#N/A</v>
      </c>
      <c r="F1742" t="e">
        <v>#N/A</v>
      </c>
      <c r="G1742" t="e">
        <v>#N/A</v>
      </c>
      <c r="H1742" s="214">
        <v>174.125</v>
      </c>
      <c r="I1742" s="425" t="e">
        <v>#N/A</v>
      </c>
      <c r="J1742" s="91">
        <v>39.259509999999999</v>
      </c>
      <c r="K1742" s="425">
        <v>3346.4613800000002</v>
      </c>
      <c r="L1742" s="542" t="s">
        <v>622</v>
      </c>
    </row>
    <row r="1743" spans="1:12" ht="15">
      <c r="A1743">
        <v>158884</v>
      </c>
      <c r="B1743" t="e">
        <f t="shared" si="74"/>
        <v>#N/A</v>
      </c>
      <c r="C1743" s="209" t="e">
        <f t="shared" si="75"/>
        <v>#N/A</v>
      </c>
      <c r="D1743" t="s">
        <v>5490</v>
      </c>
      <c r="E1743" t="e">
        <v>#N/A</v>
      </c>
      <c r="F1743" t="e">
        <v>#N/A</v>
      </c>
      <c r="G1743" t="e">
        <v>#N/A</v>
      </c>
      <c r="H1743" s="214">
        <v>340.4665</v>
      </c>
      <c r="I1743" s="425" t="e">
        <v>#N/A</v>
      </c>
      <c r="J1743" s="91">
        <v>75.954340000000002</v>
      </c>
      <c r="K1743" s="425">
        <v>6474.3095800000001</v>
      </c>
      <c r="L1743" s="542" t="s">
        <v>622</v>
      </c>
    </row>
    <row r="1744" spans="1:12" ht="15">
      <c r="A1744">
        <v>213341</v>
      </c>
      <c r="B1744" t="e">
        <f t="shared" si="74"/>
        <v>#N/A</v>
      </c>
      <c r="C1744" s="209" t="e">
        <f t="shared" si="75"/>
        <v>#N/A</v>
      </c>
      <c r="D1744" t="s">
        <v>5491</v>
      </c>
      <c r="E1744" t="e">
        <v>#N/A</v>
      </c>
      <c r="F1744" t="e">
        <v>#N/A</v>
      </c>
      <c r="G1744" t="e">
        <v>#N/A</v>
      </c>
      <c r="H1744" s="214">
        <v>1369</v>
      </c>
      <c r="I1744" s="425" t="e">
        <v>#N/A</v>
      </c>
      <c r="J1744" s="91">
        <v>0</v>
      </c>
      <c r="K1744" s="425">
        <v>0</v>
      </c>
      <c r="L1744" s="542" t="s">
        <v>624</v>
      </c>
    </row>
    <row r="1745" spans="1:12" ht="15">
      <c r="A1745">
        <v>214077</v>
      </c>
      <c r="B1745" t="str">
        <f t="shared" si="74"/>
        <v>SEVROLL zakázka RAL 7016 mat</v>
      </c>
      <c r="C1745" s="209" t="e">
        <f t="shared" si="75"/>
        <v>#N/A</v>
      </c>
      <c r="D1745" t="s">
        <v>5492</v>
      </c>
      <c r="E1745" t="s">
        <v>6511</v>
      </c>
      <c r="F1745" t="s">
        <v>5492</v>
      </c>
      <c r="G1745" t="s">
        <v>7648</v>
      </c>
      <c r="H1745" s="214">
        <v>0</v>
      </c>
      <c r="I1745" s="425" t="e">
        <v>#N/A</v>
      </c>
      <c r="J1745" s="91">
        <v>0</v>
      </c>
      <c r="K1745" s="425">
        <v>0</v>
      </c>
      <c r="L1745" s="542" t="s">
        <v>622</v>
      </c>
    </row>
    <row r="1746" spans="1:12" ht="15">
      <c r="A1746">
        <v>215527</v>
      </c>
      <c r="B1746" t="e">
        <f t="shared" si="74"/>
        <v>#N/A</v>
      </c>
      <c r="C1746" s="209" t="e">
        <f t="shared" si="75"/>
        <v>#N/A</v>
      </c>
      <c r="D1746" t="s">
        <v>5493</v>
      </c>
      <c r="E1746" t="e">
        <v>#N/A</v>
      </c>
      <c r="F1746" t="e">
        <v>#N/A</v>
      </c>
      <c r="G1746" t="e">
        <v>#N/A</v>
      </c>
      <c r="H1746" s="214">
        <v>289.61624999999998</v>
      </c>
      <c r="I1746" s="425" t="e">
        <v>#N/A</v>
      </c>
      <c r="J1746" s="91">
        <v>64.775069999999999</v>
      </c>
      <c r="K1746" s="425">
        <v>0</v>
      </c>
      <c r="L1746" s="542" t="s">
        <v>622</v>
      </c>
    </row>
    <row r="1747" spans="1:12" ht="15">
      <c r="A1747">
        <v>215528</v>
      </c>
      <c r="B1747" t="e">
        <f t="shared" si="74"/>
        <v>#N/A</v>
      </c>
      <c r="C1747" s="209" t="e">
        <f t="shared" si="75"/>
        <v>#N/A</v>
      </c>
      <c r="D1747" t="s">
        <v>5494</v>
      </c>
      <c r="E1747" t="e">
        <v>#N/A</v>
      </c>
      <c r="F1747" t="e">
        <v>#N/A</v>
      </c>
      <c r="G1747" t="e">
        <v>#N/A</v>
      </c>
      <c r="H1747" s="214">
        <v>391.7364</v>
      </c>
      <c r="I1747" s="425" t="e">
        <v>#N/A</v>
      </c>
      <c r="J1747" s="91">
        <v>87.615080000000006</v>
      </c>
      <c r="K1747" s="425">
        <v>0</v>
      </c>
      <c r="L1747" s="542" t="s">
        <v>622</v>
      </c>
    </row>
    <row r="1748" spans="1:12" ht="15">
      <c r="A1748">
        <v>216385</v>
      </c>
      <c r="B1748" t="e">
        <f t="shared" si="74"/>
        <v>#N/A</v>
      </c>
      <c r="C1748" s="209" t="e">
        <f t="shared" si="75"/>
        <v>#N/A</v>
      </c>
      <c r="D1748" t="s">
        <v>5495</v>
      </c>
      <c r="E1748" t="e">
        <v>#N/A</v>
      </c>
      <c r="F1748" t="e">
        <v>#N/A</v>
      </c>
      <c r="G1748" t="e">
        <v>#N/A</v>
      </c>
      <c r="H1748" s="214">
        <v>23.396450000000002</v>
      </c>
      <c r="I1748" s="425" t="e">
        <v>#N/A</v>
      </c>
      <c r="J1748" s="91">
        <v>5.2328099999999997</v>
      </c>
      <c r="K1748" s="425">
        <v>418.25967000000003</v>
      </c>
      <c r="L1748" s="542" t="s">
        <v>622</v>
      </c>
    </row>
    <row r="1749" spans="1:12" ht="15">
      <c r="A1749">
        <v>216618</v>
      </c>
      <c r="B1749" t="e">
        <f t="shared" si="74"/>
        <v>#N/A</v>
      </c>
      <c r="C1749" s="209" t="e">
        <f t="shared" si="75"/>
        <v>#N/A</v>
      </c>
      <c r="D1749" t="s">
        <v>5496</v>
      </c>
      <c r="E1749" t="e">
        <v>#N/A</v>
      </c>
      <c r="F1749" t="e">
        <v>#N/A</v>
      </c>
      <c r="G1749" t="e">
        <v>#N/A</v>
      </c>
      <c r="H1749" s="214">
        <v>24939.006590000001</v>
      </c>
      <c r="I1749" s="425" t="e">
        <v>#N/A</v>
      </c>
      <c r="J1749" s="91">
        <v>3011.41851</v>
      </c>
      <c r="K1749" s="425">
        <v>255549.43554999999</v>
      </c>
      <c r="L1749" s="542" t="s">
        <v>620</v>
      </c>
    </row>
    <row r="1750" spans="1:12" ht="15">
      <c r="A1750">
        <v>216852</v>
      </c>
      <c r="B1750" t="e">
        <f t="shared" ref="B1750:B1805" si="76">IF($A$2=1,D1750,IF($A$2=2,F1750,IF($A$2=3,G1750,IF($A$2=4,E1750,"zadat jazyk"))))</f>
        <v>#N/A</v>
      </c>
      <c r="C1750" s="209" t="e">
        <f t="shared" ref="C1750:C1805" si="77">IF($A$2=1,H1750,IF($A$2=2,I1750,IF($A$2=3,J1750,IF($A$2=4,K1750,"zadat jazyk"))))</f>
        <v>#N/A</v>
      </c>
      <c r="D1750" t="s">
        <v>5497</v>
      </c>
      <c r="E1750" t="e">
        <v>#N/A</v>
      </c>
      <c r="F1750" t="e">
        <v>#N/A</v>
      </c>
      <c r="G1750" t="e">
        <v>#N/A</v>
      </c>
      <c r="H1750" s="214">
        <v>486.04536000000002</v>
      </c>
      <c r="I1750" s="425" t="e">
        <v>#N/A</v>
      </c>
      <c r="J1750" s="91">
        <v>90.774479999999997</v>
      </c>
      <c r="K1750" s="425">
        <v>7319.7472299999999</v>
      </c>
      <c r="L1750" s="542" t="s">
        <v>622</v>
      </c>
    </row>
    <row r="1751" spans="1:12" ht="15">
      <c r="A1751">
        <v>217068</v>
      </c>
      <c r="B1751" t="e">
        <f t="shared" si="76"/>
        <v>#N/A</v>
      </c>
      <c r="C1751" s="209" t="e">
        <f t="shared" si="77"/>
        <v>#N/A</v>
      </c>
      <c r="D1751" t="s">
        <v>5498</v>
      </c>
      <c r="E1751" t="e">
        <v>#N/A</v>
      </c>
      <c r="F1751" t="e">
        <v>#N/A</v>
      </c>
      <c r="G1751" t="e">
        <v>#N/A</v>
      </c>
      <c r="H1751" s="214">
        <v>497.51163000000003</v>
      </c>
      <c r="I1751" s="425" t="e">
        <v>#N/A</v>
      </c>
      <c r="J1751" s="91">
        <v>92.911100000000005</v>
      </c>
      <c r="K1751" s="425">
        <v>7265.33619</v>
      </c>
      <c r="L1751" s="542" t="s">
        <v>622</v>
      </c>
    </row>
    <row r="1752" spans="1:12" ht="15">
      <c r="A1752">
        <v>275323</v>
      </c>
      <c r="B1752" t="str">
        <f t="shared" si="76"/>
        <v>SEVROLL výpredaj</v>
      </c>
      <c r="C1752" s="209" t="e">
        <f t="shared" si="77"/>
        <v>#N/A</v>
      </c>
      <c r="D1752" t="s">
        <v>5499</v>
      </c>
      <c r="E1752" t="s">
        <v>6512</v>
      </c>
      <c r="F1752" t="s">
        <v>7075</v>
      </c>
      <c r="G1752" t="s">
        <v>7649</v>
      </c>
      <c r="H1752" s="214">
        <v>59.491999999999997</v>
      </c>
      <c r="I1752" s="425" t="e">
        <v>#N/A</v>
      </c>
      <c r="J1752" s="91">
        <v>0</v>
      </c>
      <c r="K1752" s="425">
        <v>0</v>
      </c>
      <c r="L1752" s="542" t="s">
        <v>622</v>
      </c>
    </row>
    <row r="1753" spans="1:12" ht="15">
      <c r="A1753">
        <v>275733</v>
      </c>
      <c r="B1753" t="e">
        <f t="shared" si="76"/>
        <v>#N/A</v>
      </c>
      <c r="C1753" s="209" t="e">
        <f t="shared" si="77"/>
        <v>#N/A</v>
      </c>
      <c r="D1753" t="s">
        <v>5500</v>
      </c>
      <c r="E1753" t="e">
        <v>#N/A</v>
      </c>
      <c r="F1753" t="e">
        <v>#N/A</v>
      </c>
      <c r="G1753" t="e">
        <v>#N/A</v>
      </c>
      <c r="H1753" s="214">
        <v>794.38800000000003</v>
      </c>
      <c r="I1753" s="425" t="e">
        <v>#N/A</v>
      </c>
      <c r="J1753" s="91">
        <v>0</v>
      </c>
      <c r="K1753" s="425">
        <v>0</v>
      </c>
      <c r="L1753" s="542" t="s">
        <v>622</v>
      </c>
    </row>
    <row r="1754" spans="1:12" ht="15">
      <c r="A1754">
        <v>276410</v>
      </c>
      <c r="B1754" t="str">
        <f t="shared" si="76"/>
        <v>SEVROLL Fox II úchytová lišta 2,7m RAL5000 m</v>
      </c>
      <c r="C1754" s="209" t="e">
        <f t="shared" si="77"/>
        <v>#N/A</v>
      </c>
      <c r="D1754" t="s">
        <v>5501</v>
      </c>
      <c r="E1754" t="s">
        <v>6513</v>
      </c>
      <c r="F1754" t="s">
        <v>7076</v>
      </c>
      <c r="G1754" t="s">
        <v>7650</v>
      </c>
      <c r="H1754" s="214">
        <v>0</v>
      </c>
      <c r="I1754" s="425" t="e">
        <v>#N/A</v>
      </c>
      <c r="J1754" s="91">
        <v>0</v>
      </c>
      <c r="K1754" s="425">
        <v>0</v>
      </c>
      <c r="L1754" s="542" t="s">
        <v>622</v>
      </c>
    </row>
    <row r="1755" spans="1:12" ht="15">
      <c r="A1755">
        <v>276411</v>
      </c>
      <c r="B1755" t="str">
        <f t="shared" si="76"/>
        <v>SEVROLL Gemini horné vedenie 3m RAL5000 mat</v>
      </c>
      <c r="C1755" s="209" t="e">
        <f t="shared" si="77"/>
        <v>#N/A</v>
      </c>
      <c r="D1755" t="s">
        <v>5502</v>
      </c>
      <c r="E1755" t="s">
        <v>6514</v>
      </c>
      <c r="F1755" t="s">
        <v>7077</v>
      </c>
      <c r="G1755" t="s">
        <v>7651</v>
      </c>
      <c r="H1755" s="214">
        <v>0</v>
      </c>
      <c r="I1755" s="425" t="e">
        <v>#N/A</v>
      </c>
      <c r="J1755" s="91">
        <v>0</v>
      </c>
      <c r="K1755" s="425">
        <v>0</v>
      </c>
      <c r="L1755" s="542" t="s">
        <v>622</v>
      </c>
    </row>
    <row r="1756" spans="1:12" ht="15">
      <c r="A1756">
        <v>276423</v>
      </c>
      <c r="B1756" t="str">
        <f t="shared" si="76"/>
        <v>SEVROLL horná vodiaca lišta 3m RAL5000 mat</v>
      </c>
      <c r="C1756" s="209" t="e">
        <f t="shared" si="77"/>
        <v>#N/A</v>
      </c>
      <c r="D1756" t="s">
        <v>5503</v>
      </c>
      <c r="E1756" t="s">
        <v>6515</v>
      </c>
      <c r="F1756" t="s">
        <v>7078</v>
      </c>
      <c r="G1756" t="s">
        <v>7652</v>
      </c>
      <c r="H1756" s="214">
        <v>0</v>
      </c>
      <c r="I1756" s="425" t="e">
        <v>#N/A</v>
      </c>
      <c r="J1756" s="91">
        <v>0</v>
      </c>
      <c r="K1756" s="425">
        <v>0</v>
      </c>
      <c r="L1756" s="542" t="s">
        <v>622</v>
      </c>
    </row>
    <row r="1757" spans="1:12" ht="15">
      <c r="A1757">
        <v>276425</v>
      </c>
      <c r="B1757" t="str">
        <f t="shared" si="76"/>
        <v>SEVROLL spodná krycia lišta 3m RAL5000 mat</v>
      </c>
      <c r="C1757" s="209" t="e">
        <f t="shared" si="77"/>
        <v>#N/A</v>
      </c>
      <c r="D1757" t="s">
        <v>5504</v>
      </c>
      <c r="E1757" t="s">
        <v>6516</v>
      </c>
      <c r="F1757" t="s">
        <v>7079</v>
      </c>
      <c r="G1757" t="s">
        <v>7653</v>
      </c>
      <c r="H1757" s="214">
        <v>0</v>
      </c>
      <c r="I1757" s="425" t="e">
        <v>#N/A</v>
      </c>
      <c r="J1757" s="91">
        <v>0</v>
      </c>
      <c r="K1757" s="425">
        <v>0</v>
      </c>
      <c r="L1757" s="542" t="s">
        <v>622</v>
      </c>
    </row>
    <row r="1758" spans="1:12" ht="15">
      <c r="A1758">
        <v>276433</v>
      </c>
      <c r="B1758" t="str">
        <f t="shared" si="76"/>
        <v>SEVROLL Universal úchytová lišta 2,7m RAL900</v>
      </c>
      <c r="C1758" s="209" t="e">
        <f t="shared" si="77"/>
        <v>#N/A</v>
      </c>
      <c r="D1758" t="s">
        <v>5505</v>
      </c>
      <c r="E1758" t="s">
        <v>6517</v>
      </c>
      <c r="F1758" t="s">
        <v>7080</v>
      </c>
      <c r="G1758" t="s">
        <v>7654</v>
      </c>
      <c r="H1758" s="214">
        <v>0</v>
      </c>
      <c r="I1758" s="425" t="e">
        <v>#N/A</v>
      </c>
      <c r="J1758" s="91">
        <v>0</v>
      </c>
      <c r="K1758" s="425">
        <v>0</v>
      </c>
      <c r="L1758" s="542" t="s">
        <v>622</v>
      </c>
    </row>
    <row r="1759" spans="1:12" ht="15">
      <c r="A1759">
        <v>380524</v>
      </c>
      <c r="B1759" t="str">
        <f t="shared" si="76"/>
        <v>SEVROLL sada kovania Galaxy B 50kg + vedenie na stenu 2m</v>
      </c>
      <c r="C1759" s="209" t="e">
        <f t="shared" si="77"/>
        <v>#N/A</v>
      </c>
      <c r="D1759" t="s">
        <v>5506</v>
      </c>
      <c r="E1759" t="s">
        <v>84</v>
      </c>
      <c r="F1759" t="s">
        <v>7081</v>
      </c>
      <c r="G1759" t="s">
        <v>84</v>
      </c>
      <c r="H1759" s="214">
        <v>0</v>
      </c>
      <c r="I1759" s="425" t="e">
        <v>#N/A</v>
      </c>
      <c r="J1759" s="91">
        <v>0</v>
      </c>
      <c r="K1759" s="425">
        <v>0</v>
      </c>
      <c r="L1759" s="542" t="s">
        <v>620</v>
      </c>
    </row>
    <row r="1760" spans="1:12" ht="15">
      <c r="A1760">
        <v>309906</v>
      </c>
      <c r="B1760" t="e">
        <f t="shared" si="76"/>
        <v>#N/A</v>
      </c>
      <c r="C1760" s="209" t="e">
        <f t="shared" si="77"/>
        <v>#N/A</v>
      </c>
      <c r="D1760" t="s">
        <v>5507</v>
      </c>
      <c r="E1760" t="e">
        <v>#N/A</v>
      </c>
      <c r="F1760" t="e">
        <v>#N/A</v>
      </c>
      <c r="G1760" t="e">
        <v>#N/A</v>
      </c>
      <c r="H1760" s="214">
        <v>1141</v>
      </c>
      <c r="I1760" s="425" t="e">
        <v>#N/A</v>
      </c>
      <c r="J1760" s="91">
        <v>257.25830999999999</v>
      </c>
      <c r="K1760" s="425">
        <v>21928.570100000001</v>
      </c>
      <c r="L1760" s="542" t="s">
        <v>622</v>
      </c>
    </row>
    <row r="1761" spans="1:12" ht="15">
      <c r="A1761">
        <v>309908</v>
      </c>
      <c r="B1761" t="e">
        <f t="shared" si="76"/>
        <v>#N/A</v>
      </c>
      <c r="C1761" s="209" t="e">
        <f t="shared" si="77"/>
        <v>#N/A</v>
      </c>
      <c r="D1761" t="s">
        <v>5508</v>
      </c>
      <c r="E1761" t="e">
        <v>#N/A</v>
      </c>
      <c r="F1761" t="e">
        <v>#N/A</v>
      </c>
      <c r="G1761" t="e">
        <v>#N/A</v>
      </c>
      <c r="H1761" s="214">
        <v>592.72500000000002</v>
      </c>
      <c r="I1761" s="425" t="e">
        <v>#N/A</v>
      </c>
      <c r="J1761" s="91">
        <v>133.64016000000001</v>
      </c>
      <c r="K1761" s="425">
        <v>11391.42129</v>
      </c>
      <c r="L1761" s="542" t="s">
        <v>622</v>
      </c>
    </row>
    <row r="1762" spans="1:12" ht="15">
      <c r="A1762">
        <v>309909</v>
      </c>
      <c r="B1762" t="e">
        <f t="shared" si="76"/>
        <v>#N/A</v>
      </c>
      <c r="C1762" s="209" t="e">
        <f t="shared" si="77"/>
        <v>#N/A</v>
      </c>
      <c r="D1762" t="s">
        <v>5509</v>
      </c>
      <c r="E1762" t="e">
        <v>#N/A</v>
      </c>
      <c r="F1762" t="e">
        <v>#N/A</v>
      </c>
      <c r="G1762" t="e">
        <v>#N/A</v>
      </c>
      <c r="H1762" s="214">
        <v>593.25</v>
      </c>
      <c r="I1762" s="425" t="e">
        <v>#N/A</v>
      </c>
      <c r="J1762" s="91">
        <v>133.75853000000001</v>
      </c>
      <c r="K1762" s="425">
        <v>11401.511140000001</v>
      </c>
      <c r="L1762" s="542" t="s">
        <v>622</v>
      </c>
    </row>
    <row r="1763" spans="1:12" ht="15">
      <c r="A1763">
        <v>309910</v>
      </c>
      <c r="B1763" t="e">
        <f t="shared" si="76"/>
        <v>#N/A</v>
      </c>
      <c r="C1763" s="209" t="e">
        <f t="shared" si="77"/>
        <v>#N/A</v>
      </c>
      <c r="D1763" t="s">
        <v>5510</v>
      </c>
      <c r="E1763" t="e">
        <v>#N/A</v>
      </c>
      <c r="F1763" t="e">
        <v>#N/A</v>
      </c>
      <c r="G1763" t="e">
        <v>#N/A</v>
      </c>
      <c r="H1763" s="214">
        <v>1090.7750000000001</v>
      </c>
      <c r="I1763" s="425" t="e">
        <v>#N/A</v>
      </c>
      <c r="J1763" s="91">
        <v>245.93419</v>
      </c>
      <c r="K1763" s="425">
        <v>20963.30947</v>
      </c>
      <c r="L1763" s="542" t="s">
        <v>622</v>
      </c>
    </row>
    <row r="1764" spans="1:12" ht="15">
      <c r="A1764">
        <v>403116</v>
      </c>
      <c r="B1764" t="e">
        <f t="shared" si="76"/>
        <v>#N/A</v>
      </c>
      <c r="C1764" s="209" t="e">
        <f t="shared" si="77"/>
        <v>#N/A</v>
      </c>
      <c r="D1764" t="s">
        <v>5511</v>
      </c>
      <c r="E1764" t="e">
        <v>#N/A</v>
      </c>
      <c r="F1764" t="e">
        <v>#N/A</v>
      </c>
      <c r="G1764" t="e">
        <v>#N/A</v>
      </c>
      <c r="H1764" s="214">
        <v>2982.1338000000001</v>
      </c>
      <c r="I1764" s="425" t="e">
        <v>#N/A</v>
      </c>
      <c r="J1764" s="91">
        <v>515.48153000000002</v>
      </c>
      <c r="K1764" s="425">
        <v>43603.58988</v>
      </c>
      <c r="L1764" s="542" t="s">
        <v>622</v>
      </c>
    </row>
    <row r="1765" spans="1:12" ht="15">
      <c r="A1765">
        <v>403118</v>
      </c>
      <c r="B1765" t="e">
        <f t="shared" si="76"/>
        <v>#N/A</v>
      </c>
      <c r="C1765" s="209" t="e">
        <f t="shared" si="77"/>
        <v>#N/A</v>
      </c>
      <c r="D1765" t="s">
        <v>5512</v>
      </c>
      <c r="E1765" t="e">
        <v>#N/A</v>
      </c>
      <c r="F1765" t="e">
        <v>#N/A</v>
      </c>
      <c r="G1765" t="e">
        <v>#N/A</v>
      </c>
      <c r="H1765" s="214">
        <v>1701.10167</v>
      </c>
      <c r="I1765" s="425" t="e">
        <v>#N/A</v>
      </c>
      <c r="J1765" s="91">
        <v>150.34879000000001</v>
      </c>
      <c r="K1765" s="425">
        <v>12717.71369</v>
      </c>
      <c r="L1765" s="542" t="s">
        <v>622</v>
      </c>
    </row>
    <row r="1766" spans="1:12" ht="15">
      <c r="A1766">
        <v>403121</v>
      </c>
      <c r="B1766" t="e">
        <f t="shared" si="76"/>
        <v>#N/A</v>
      </c>
      <c r="C1766" s="209" t="e">
        <f t="shared" si="77"/>
        <v>#N/A</v>
      </c>
      <c r="D1766" t="s">
        <v>5513</v>
      </c>
      <c r="E1766" t="e">
        <v>#N/A</v>
      </c>
      <c r="F1766" t="e">
        <v>#N/A</v>
      </c>
      <c r="G1766" t="e">
        <v>#N/A</v>
      </c>
      <c r="H1766" s="214">
        <v>3299.1997500000002</v>
      </c>
      <c r="I1766" s="425" t="e">
        <v>#N/A</v>
      </c>
      <c r="J1766" s="91">
        <v>570.28849000000002</v>
      </c>
      <c r="K1766" s="425">
        <v>48239.603539999996</v>
      </c>
      <c r="L1766" s="542" t="s">
        <v>622</v>
      </c>
    </row>
    <row r="1767" spans="1:12" ht="15">
      <c r="A1767">
        <v>231818</v>
      </c>
      <c r="B1767" t="e">
        <f t="shared" si="76"/>
        <v>#N/A</v>
      </c>
      <c r="C1767" s="209" t="e">
        <f t="shared" si="77"/>
        <v>#N/A</v>
      </c>
      <c r="D1767" t="s">
        <v>5514</v>
      </c>
      <c r="E1767" t="e">
        <v>#N/A</v>
      </c>
      <c r="F1767" t="e">
        <v>#N/A</v>
      </c>
      <c r="G1767" t="e">
        <v>#N/A</v>
      </c>
      <c r="H1767" s="214">
        <v>715.52250000000004</v>
      </c>
      <c r="I1767" s="425" t="e">
        <v>#N/A</v>
      </c>
      <c r="J1767" s="91">
        <v>160.03251</v>
      </c>
      <c r="K1767" s="425">
        <v>0</v>
      </c>
      <c r="L1767" s="542" t="s">
        <v>622</v>
      </c>
    </row>
    <row r="1768" spans="1:12" ht="15">
      <c r="A1768">
        <v>231877</v>
      </c>
      <c r="B1768" t="str">
        <f t="shared" si="76"/>
        <v>MSE-Julia II úchytová lišta 2,7m striebo</v>
      </c>
      <c r="C1768" s="209" t="e">
        <f t="shared" si="77"/>
        <v>#N/A</v>
      </c>
      <c r="D1768" t="s">
        <v>5515</v>
      </c>
      <c r="E1768" t="s">
        <v>6518</v>
      </c>
      <c r="F1768" t="s">
        <v>7082</v>
      </c>
      <c r="G1768" t="s">
        <v>7655</v>
      </c>
      <c r="H1768" s="214">
        <v>0</v>
      </c>
      <c r="I1768" s="425" t="e">
        <v>#N/A</v>
      </c>
      <c r="J1768" s="91">
        <v>49.975409999999997</v>
      </c>
      <c r="K1768" s="425">
        <v>0</v>
      </c>
      <c r="L1768" s="542" t="s">
        <v>622</v>
      </c>
    </row>
    <row r="1769" spans="1:12" ht="15">
      <c r="A1769">
        <v>231879</v>
      </c>
      <c r="B1769" t="str">
        <f t="shared" si="76"/>
        <v>MSE-Factor 16 II-úchytová lišta striebor</v>
      </c>
      <c r="C1769" s="209" t="e">
        <f t="shared" si="77"/>
        <v>#N/A</v>
      </c>
      <c r="D1769" t="s">
        <v>5516</v>
      </c>
      <c r="E1769" t="s">
        <v>6519</v>
      </c>
      <c r="F1769" t="s">
        <v>7083</v>
      </c>
      <c r="G1769" t="s">
        <v>7656</v>
      </c>
      <c r="H1769" s="214">
        <v>0</v>
      </c>
      <c r="I1769" s="425" t="e">
        <v>#N/A</v>
      </c>
      <c r="J1769" s="91">
        <v>26.65354</v>
      </c>
      <c r="K1769" s="425">
        <v>0</v>
      </c>
      <c r="L1769" s="542" t="s">
        <v>622</v>
      </c>
    </row>
    <row r="1770" spans="1:12" ht="15">
      <c r="A1770">
        <v>231880</v>
      </c>
      <c r="B1770" t="str">
        <f t="shared" si="76"/>
        <v>MSE-Faworyt II úchytová lišta 2,7m strie</v>
      </c>
      <c r="C1770" s="209" t="e">
        <f t="shared" si="77"/>
        <v>#N/A</v>
      </c>
      <c r="D1770" t="s">
        <v>5517</v>
      </c>
      <c r="E1770" t="s">
        <v>6520</v>
      </c>
      <c r="F1770" t="s">
        <v>7084</v>
      </c>
      <c r="G1770" t="s">
        <v>7657</v>
      </c>
      <c r="H1770" s="214">
        <v>0</v>
      </c>
      <c r="I1770" s="425" t="e">
        <v>#N/A</v>
      </c>
      <c r="J1770" s="91">
        <v>35.300089999999997</v>
      </c>
      <c r="K1770" s="425">
        <v>0</v>
      </c>
      <c r="L1770" s="542" t="s">
        <v>622</v>
      </c>
    </row>
    <row r="1771" spans="1:12" ht="15">
      <c r="A1771">
        <v>231888</v>
      </c>
      <c r="B1771" t="str">
        <f t="shared" si="76"/>
        <v>MSE-Optima 16 úchytová  lišta 2,4m strie</v>
      </c>
      <c r="C1771" s="209" t="e">
        <f t="shared" si="77"/>
        <v>#N/A</v>
      </c>
      <c r="D1771" t="s">
        <v>5518</v>
      </c>
      <c r="E1771" t="s">
        <v>6521</v>
      </c>
      <c r="F1771" t="s">
        <v>7085</v>
      </c>
      <c r="G1771" t="s">
        <v>7658</v>
      </c>
      <c r="H1771" s="214">
        <v>0</v>
      </c>
      <c r="I1771" s="425" t="e">
        <v>#N/A</v>
      </c>
      <c r="J1771" s="91">
        <v>31.928740000000001</v>
      </c>
      <c r="K1771" s="425">
        <v>0</v>
      </c>
      <c r="L1771" s="542" t="s">
        <v>622</v>
      </c>
    </row>
    <row r="1772" spans="1:12" ht="15">
      <c r="A1772">
        <v>231889</v>
      </c>
      <c r="B1772" t="str">
        <f t="shared" si="76"/>
        <v>MSE-Optima spodné vedenie 2m surová</v>
      </c>
      <c r="C1772" s="209" t="e">
        <f t="shared" si="77"/>
        <v>#N/A</v>
      </c>
      <c r="D1772" t="s">
        <v>5519</v>
      </c>
      <c r="E1772" t="s">
        <v>6522</v>
      </c>
      <c r="F1772" t="s">
        <v>7086</v>
      </c>
      <c r="G1772" t="s">
        <v>7659</v>
      </c>
      <c r="H1772" s="214">
        <v>0</v>
      </c>
      <c r="I1772" s="425" t="e">
        <v>#N/A</v>
      </c>
      <c r="J1772" s="91">
        <v>19.633189999999999</v>
      </c>
      <c r="K1772" s="425">
        <v>0</v>
      </c>
      <c r="L1772" s="542" t="s">
        <v>622</v>
      </c>
    </row>
    <row r="1773" spans="1:12" ht="15">
      <c r="A1773">
        <v>231890</v>
      </c>
      <c r="B1773" t="str">
        <f t="shared" si="76"/>
        <v>MSE-Optima spodné vedenie 2,4m surová</v>
      </c>
      <c r="C1773" s="209" t="e">
        <f t="shared" si="77"/>
        <v>#N/A</v>
      </c>
      <c r="D1773" t="s">
        <v>5520</v>
      </c>
      <c r="E1773" t="s">
        <v>6523</v>
      </c>
      <c r="F1773" t="s">
        <v>7087</v>
      </c>
      <c r="G1773" t="s">
        <v>7660</v>
      </c>
      <c r="H1773" s="214">
        <v>0</v>
      </c>
      <c r="I1773" s="425" t="e">
        <v>#N/A</v>
      </c>
      <c r="J1773" s="91">
        <v>23.500340000000001</v>
      </c>
      <c r="K1773" s="425">
        <v>0</v>
      </c>
      <c r="L1773" s="542" t="s">
        <v>622</v>
      </c>
    </row>
    <row r="1774" spans="1:12" ht="15">
      <c r="A1774">
        <v>231891</v>
      </c>
      <c r="B1774" t="str">
        <f t="shared" si="76"/>
        <v>MSE-Optima horné vedenie 2m strieborná</v>
      </c>
      <c r="C1774" s="209" t="e">
        <f t="shared" si="77"/>
        <v>#N/A</v>
      </c>
      <c r="D1774" t="s">
        <v>5521</v>
      </c>
      <c r="E1774" t="s">
        <v>6524</v>
      </c>
      <c r="F1774" t="s">
        <v>7088</v>
      </c>
      <c r="G1774" t="s">
        <v>7661</v>
      </c>
      <c r="H1774" s="214">
        <v>0</v>
      </c>
      <c r="I1774" s="425" t="e">
        <v>#N/A</v>
      </c>
      <c r="J1774" s="91">
        <v>60.882730000000002</v>
      </c>
      <c r="K1774" s="425">
        <v>0</v>
      </c>
      <c r="L1774" s="542" t="s">
        <v>622</v>
      </c>
    </row>
    <row r="1775" spans="1:12" ht="15">
      <c r="A1775">
        <v>231892</v>
      </c>
      <c r="B1775" t="str">
        <f t="shared" si="76"/>
        <v>MSE-Optima horné vedenie 2,4m strieborná</v>
      </c>
      <c r="C1775" s="209" t="e">
        <f t="shared" si="77"/>
        <v>#N/A</v>
      </c>
      <c r="D1775" t="s">
        <v>5522</v>
      </c>
      <c r="E1775" t="s">
        <v>6525</v>
      </c>
      <c r="F1775" t="s">
        <v>7089</v>
      </c>
      <c r="G1775" t="s">
        <v>7662</v>
      </c>
      <c r="H1775" s="214">
        <v>0</v>
      </c>
      <c r="I1775" s="425" t="e">
        <v>#N/A</v>
      </c>
      <c r="J1775" s="91">
        <v>72.979960000000005</v>
      </c>
      <c r="K1775" s="425">
        <v>0</v>
      </c>
      <c r="L1775" s="542" t="s">
        <v>622</v>
      </c>
    </row>
    <row r="1776" spans="1:12" ht="15">
      <c r="A1776">
        <v>231893</v>
      </c>
      <c r="B1776" t="str">
        <f t="shared" si="76"/>
        <v>MSE-Optima sada kovania  (dvoje dvere)</v>
      </c>
      <c r="C1776" s="209" t="e">
        <f t="shared" si="77"/>
        <v>#N/A</v>
      </c>
      <c r="D1776" t="s">
        <v>5523</v>
      </c>
      <c r="E1776" t="s">
        <v>6526</v>
      </c>
      <c r="F1776" t="s">
        <v>7090</v>
      </c>
      <c r="G1776" t="s">
        <v>7663</v>
      </c>
      <c r="H1776" s="214">
        <v>0</v>
      </c>
      <c r="I1776" s="425" t="e">
        <v>#N/A</v>
      </c>
      <c r="J1776" s="91">
        <v>87.881140000000002</v>
      </c>
      <c r="K1776" s="425">
        <v>0</v>
      </c>
      <c r="L1776" s="542" t="s">
        <v>622</v>
      </c>
    </row>
    <row r="1777" spans="1:12" ht="15">
      <c r="A1777">
        <v>231947</v>
      </c>
      <c r="B1777" t="str">
        <f t="shared" si="76"/>
        <v>MSE-profil "U"  DTD 16mm  3m strieborný</v>
      </c>
      <c r="C1777" s="209" t="e">
        <f t="shared" si="77"/>
        <v>#N/A</v>
      </c>
      <c r="D1777" t="s">
        <v>5524</v>
      </c>
      <c r="E1777" t="s">
        <v>6527</v>
      </c>
      <c r="F1777" t="s">
        <v>7091</v>
      </c>
      <c r="G1777" t="s">
        <v>7664</v>
      </c>
      <c r="H1777" s="214">
        <v>0</v>
      </c>
      <c r="I1777" s="425" t="e">
        <v>#N/A</v>
      </c>
      <c r="J1777" s="91">
        <v>16.07629</v>
      </c>
      <c r="K1777" s="425">
        <v>0</v>
      </c>
      <c r="L1777" s="542" t="s">
        <v>622</v>
      </c>
    </row>
    <row r="1778" spans="1:12" ht="15">
      <c r="A1778">
        <v>231949</v>
      </c>
      <c r="B1778" t="str">
        <f t="shared" si="76"/>
        <v>MSE-Ergo 16 úchytová lišta 2,7m striebor</v>
      </c>
      <c r="C1778" s="209" t="e">
        <f t="shared" si="77"/>
        <v>#N/A</v>
      </c>
      <c r="D1778" t="s">
        <v>5525</v>
      </c>
      <c r="E1778" t="s">
        <v>6528</v>
      </c>
      <c r="F1778" t="s">
        <v>7092</v>
      </c>
      <c r="G1778" t="s">
        <v>7665</v>
      </c>
      <c r="H1778" s="214">
        <v>0</v>
      </c>
      <c r="I1778" s="425" t="e">
        <v>#N/A</v>
      </c>
      <c r="J1778" s="91">
        <v>21.168500000000002</v>
      </c>
      <c r="K1778" s="425">
        <v>0</v>
      </c>
      <c r="L1778" s="542" t="s">
        <v>622</v>
      </c>
    </row>
    <row r="1779" spans="1:12" ht="15">
      <c r="A1779">
        <v>231950</v>
      </c>
      <c r="B1779" t="str">
        <f t="shared" si="76"/>
        <v>MSE-Fiesta 16 úchytová lišta 2,7m strieb</v>
      </c>
      <c r="C1779" s="209" t="e">
        <f t="shared" si="77"/>
        <v>#N/A</v>
      </c>
      <c r="D1779" t="s">
        <v>5526</v>
      </c>
      <c r="E1779" t="s">
        <v>6529</v>
      </c>
      <c r="F1779" t="s">
        <v>7093</v>
      </c>
      <c r="G1779" t="s">
        <v>7666</v>
      </c>
      <c r="H1779" s="214">
        <v>0</v>
      </c>
      <c r="I1779" s="425" t="e">
        <v>#N/A</v>
      </c>
      <c r="J1779" s="91">
        <v>19.335719999999998</v>
      </c>
      <c r="K1779" s="425">
        <v>0</v>
      </c>
      <c r="L1779" s="542" t="s">
        <v>622</v>
      </c>
    </row>
    <row r="1780" spans="1:12" ht="15">
      <c r="A1780">
        <v>231954</v>
      </c>
      <c r="B1780" t="str">
        <f t="shared" si="76"/>
        <v>MSE-Universal 16 úchytová lišta 2,7m str</v>
      </c>
      <c r="C1780" s="209" t="e">
        <f t="shared" si="77"/>
        <v>#N/A</v>
      </c>
      <c r="D1780" t="s">
        <v>5527</v>
      </c>
      <c r="E1780" t="s">
        <v>6530</v>
      </c>
      <c r="F1780" t="s">
        <v>7094</v>
      </c>
      <c r="G1780" t="s">
        <v>7667</v>
      </c>
      <c r="H1780" s="214">
        <v>0</v>
      </c>
      <c r="I1780" s="425" t="e">
        <v>#N/A</v>
      </c>
      <c r="J1780" s="91">
        <v>33.316940000000002</v>
      </c>
      <c r="K1780" s="425">
        <v>0</v>
      </c>
      <c r="L1780" s="542" t="s">
        <v>622</v>
      </c>
    </row>
    <row r="1781" spans="1:12" ht="15">
      <c r="A1781">
        <v>231968</v>
      </c>
      <c r="B1781" t="str">
        <f t="shared" si="76"/>
        <v>MSE-spojovacia lišta H30 3m strieborná</v>
      </c>
      <c r="C1781" s="209" t="e">
        <f t="shared" si="77"/>
        <v>#N/A</v>
      </c>
      <c r="D1781" t="s">
        <v>5528</v>
      </c>
      <c r="E1781" t="s">
        <v>6531</v>
      </c>
      <c r="F1781" t="s">
        <v>7095</v>
      </c>
      <c r="G1781" t="s">
        <v>7668</v>
      </c>
      <c r="H1781" s="214">
        <v>0</v>
      </c>
      <c r="I1781" s="425" t="e">
        <v>#N/A</v>
      </c>
      <c r="J1781" s="91">
        <v>66.733029999999999</v>
      </c>
      <c r="K1781" s="425">
        <v>0</v>
      </c>
      <c r="L1781" s="542" t="s">
        <v>622</v>
      </c>
    </row>
    <row r="1782" spans="1:12" ht="15">
      <c r="A1782">
        <v>231991</v>
      </c>
      <c r="B1782" t="str">
        <f t="shared" si="76"/>
        <v>MSE-spojovacia lišta H10 3m strieborná</v>
      </c>
      <c r="C1782" s="209" t="e">
        <f t="shared" si="77"/>
        <v>#N/A</v>
      </c>
      <c r="D1782" t="s">
        <v>5529</v>
      </c>
      <c r="E1782" t="s">
        <v>6532</v>
      </c>
      <c r="F1782" t="s">
        <v>7096</v>
      </c>
      <c r="G1782" t="s">
        <v>7669</v>
      </c>
      <c r="H1782" s="214">
        <v>0</v>
      </c>
      <c r="I1782" s="425" t="e">
        <v>#N/A</v>
      </c>
      <c r="J1782" s="91">
        <v>38.671439999999997</v>
      </c>
      <c r="K1782" s="425">
        <v>0</v>
      </c>
      <c r="L1782" s="542" t="s">
        <v>622</v>
      </c>
    </row>
    <row r="1783" spans="1:12" ht="15">
      <c r="A1783">
        <v>232699</v>
      </c>
      <c r="B1783" t="e">
        <f t="shared" si="76"/>
        <v>#N/A</v>
      </c>
      <c r="C1783" s="209" t="e">
        <f t="shared" si="77"/>
        <v>#N/A</v>
      </c>
      <c r="D1783" t="s">
        <v>5530</v>
      </c>
      <c r="E1783" t="e">
        <v>#N/A</v>
      </c>
      <c r="F1783" t="e">
        <v>#N/A</v>
      </c>
      <c r="G1783" t="e">
        <v>#N/A</v>
      </c>
      <c r="H1783" s="214">
        <v>256.17129999999997</v>
      </c>
      <c r="I1783" s="425" t="e">
        <v>#N/A</v>
      </c>
      <c r="J1783" s="91">
        <v>47.840409999999999</v>
      </c>
      <c r="K1783" s="425">
        <v>3740.95901</v>
      </c>
      <c r="L1783" s="542" t="s">
        <v>622</v>
      </c>
    </row>
    <row r="1784" spans="1:12" ht="15">
      <c r="A1784">
        <v>232700</v>
      </c>
      <c r="B1784" t="e">
        <f t="shared" si="76"/>
        <v>#N/A</v>
      </c>
      <c r="C1784" s="209" t="e">
        <f t="shared" si="77"/>
        <v>#N/A</v>
      </c>
      <c r="D1784" t="s">
        <v>5531</v>
      </c>
      <c r="E1784" t="e">
        <v>#N/A</v>
      </c>
      <c r="F1784" t="e">
        <v>#N/A</v>
      </c>
      <c r="G1784" t="e">
        <v>#N/A</v>
      </c>
      <c r="H1784" s="214">
        <v>62.020420000000001</v>
      </c>
      <c r="I1784" s="425" t="e">
        <v>#N/A</v>
      </c>
      <c r="J1784" s="91">
        <v>11.58243</v>
      </c>
      <c r="K1784" s="425">
        <v>905.70587</v>
      </c>
      <c r="L1784" s="542" t="s">
        <v>622</v>
      </c>
    </row>
    <row r="1785" spans="1:12" ht="15">
      <c r="A1785">
        <v>232702</v>
      </c>
      <c r="B1785" t="e">
        <f t="shared" si="76"/>
        <v>#N/A</v>
      </c>
      <c r="C1785" s="209" t="e">
        <f t="shared" si="77"/>
        <v>#N/A</v>
      </c>
      <c r="D1785" t="s">
        <v>5532</v>
      </c>
      <c r="E1785" t="e">
        <v>#N/A</v>
      </c>
      <c r="F1785" t="e">
        <v>#N/A</v>
      </c>
      <c r="G1785" t="e">
        <v>#N/A</v>
      </c>
      <c r="H1785" s="214">
        <v>108.53574</v>
      </c>
      <c r="I1785" s="425" t="e">
        <v>#N/A</v>
      </c>
      <c r="J1785" s="91">
        <v>20.269220000000001</v>
      </c>
      <c r="K1785" s="425">
        <v>1584.9852699999999</v>
      </c>
      <c r="L1785" s="542" t="s">
        <v>622</v>
      </c>
    </row>
    <row r="1786" spans="1:12" ht="15">
      <c r="A1786">
        <v>233016</v>
      </c>
      <c r="B1786" t="str">
        <f t="shared" si="76"/>
        <v>SEVROLL Gemini horné vedenie 3m biela mat</v>
      </c>
      <c r="C1786" s="209">
        <f t="shared" si="77"/>
        <v>37.626339999999999</v>
      </c>
      <c r="D1786" t="s">
        <v>5533</v>
      </c>
      <c r="E1786" t="s">
        <v>6533</v>
      </c>
      <c r="F1786" t="s">
        <v>7097</v>
      </c>
      <c r="G1786" t="s">
        <v>7670</v>
      </c>
      <c r="H1786" s="214">
        <v>965.74976000000004</v>
      </c>
      <c r="I1786" s="425">
        <v>37.626339999999999</v>
      </c>
      <c r="J1786" s="91">
        <v>135.08000000000001</v>
      </c>
      <c r="K1786" s="425">
        <v>10942.21823</v>
      </c>
      <c r="L1786" s="542" t="s">
        <v>621</v>
      </c>
    </row>
    <row r="1787" spans="1:12" ht="15">
      <c r="A1787">
        <v>233020</v>
      </c>
      <c r="B1787" t="str">
        <f t="shared" si="76"/>
        <v>SEVROLL Fox úchytová lišta 2,7m RAL9003 mat</v>
      </c>
      <c r="C1787" s="209" t="e">
        <f t="shared" si="77"/>
        <v>#N/A</v>
      </c>
      <c r="D1787" t="s">
        <v>5534</v>
      </c>
      <c r="E1787" t="s">
        <v>6534</v>
      </c>
      <c r="F1787" t="s">
        <v>7098</v>
      </c>
      <c r="G1787" t="s">
        <v>7671</v>
      </c>
      <c r="H1787" s="214">
        <v>856.36454000000003</v>
      </c>
      <c r="I1787" s="425" t="e">
        <v>#N/A</v>
      </c>
      <c r="J1787" s="91">
        <v>108.67985</v>
      </c>
      <c r="K1787" s="425">
        <v>9702.8527699999995</v>
      </c>
      <c r="L1787" s="542" t="s">
        <v>622</v>
      </c>
    </row>
    <row r="1788" spans="1:12" ht="15">
      <c r="A1788">
        <v>233021</v>
      </c>
      <c r="B1788" t="str">
        <f t="shared" si="76"/>
        <v>SEVROLL horná vod.lišta 3m RAL9003 mat</v>
      </c>
      <c r="C1788" s="209" t="e">
        <f t="shared" si="77"/>
        <v>#N/A</v>
      </c>
      <c r="D1788" t="s">
        <v>5535</v>
      </c>
      <c r="E1788" t="s">
        <v>6535</v>
      </c>
      <c r="F1788" t="s">
        <v>7099</v>
      </c>
      <c r="G1788" t="s">
        <v>7672</v>
      </c>
      <c r="H1788" s="214">
        <v>0</v>
      </c>
      <c r="I1788" s="425" t="e">
        <v>#N/A</v>
      </c>
      <c r="J1788" s="91">
        <v>0</v>
      </c>
      <c r="K1788" s="425">
        <v>0</v>
      </c>
      <c r="L1788" s="542" t="s">
        <v>622</v>
      </c>
    </row>
    <row r="1789" spans="1:12" ht="15">
      <c r="A1789">
        <v>233022</v>
      </c>
      <c r="B1789" t="str">
        <f t="shared" si="76"/>
        <v>SEVROLL spodná krycia lišta 3m RAL9003 mat</v>
      </c>
      <c r="C1789" s="209" t="e">
        <f t="shared" si="77"/>
        <v>#N/A</v>
      </c>
      <c r="D1789" t="s">
        <v>5536</v>
      </c>
      <c r="E1789" t="s">
        <v>6536</v>
      </c>
      <c r="F1789" t="s">
        <v>7100</v>
      </c>
      <c r="G1789" t="s">
        <v>7673</v>
      </c>
      <c r="H1789" s="214">
        <v>0</v>
      </c>
      <c r="I1789" s="425" t="e">
        <v>#N/A</v>
      </c>
      <c r="J1789" s="91">
        <v>0</v>
      </c>
      <c r="K1789" s="425">
        <v>0</v>
      </c>
      <c r="L1789" s="542" t="s">
        <v>622</v>
      </c>
    </row>
    <row r="1790" spans="1:12" ht="15">
      <c r="A1790">
        <v>233502</v>
      </c>
      <c r="B1790" t="e">
        <f t="shared" si="76"/>
        <v>#N/A</v>
      </c>
      <c r="C1790" s="209" t="e">
        <f t="shared" si="77"/>
        <v>#N/A</v>
      </c>
      <c r="D1790" t="s">
        <v>5537</v>
      </c>
      <c r="E1790" t="e">
        <v>#N/A</v>
      </c>
      <c r="F1790" t="e">
        <v>#N/A</v>
      </c>
      <c r="G1790" t="e">
        <v>#N/A</v>
      </c>
      <c r="H1790" s="214">
        <v>258.28816</v>
      </c>
      <c r="I1790" s="425" t="e">
        <v>#N/A</v>
      </c>
      <c r="J1790" s="91">
        <v>48.238230000000001</v>
      </c>
      <c r="K1790" s="425">
        <v>3889.8149199999998</v>
      </c>
      <c r="L1790" s="542" t="s">
        <v>622</v>
      </c>
    </row>
    <row r="1791" spans="1:12" ht="15">
      <c r="A1791">
        <v>234164</v>
      </c>
      <c r="B1791" t="e">
        <f t="shared" si="76"/>
        <v>#N/A</v>
      </c>
      <c r="C1791" s="209" t="e">
        <f t="shared" si="77"/>
        <v>#N/A</v>
      </c>
      <c r="D1791" t="s">
        <v>5538</v>
      </c>
      <c r="E1791" t="e">
        <v>#N/A</v>
      </c>
      <c r="F1791" t="e">
        <v>#N/A</v>
      </c>
      <c r="G1791" t="e">
        <v>#N/A</v>
      </c>
      <c r="H1791" s="214">
        <v>20.212499999999999</v>
      </c>
      <c r="I1791" s="425" t="e">
        <v>#N/A</v>
      </c>
      <c r="J1791" s="91">
        <v>4.5572699999999999</v>
      </c>
      <c r="K1791" s="425">
        <v>388.45853</v>
      </c>
      <c r="L1791" s="542" t="s">
        <v>622</v>
      </c>
    </row>
    <row r="1792" spans="1:12" ht="15">
      <c r="A1792">
        <v>234222</v>
      </c>
      <c r="B1792" t="e">
        <f t="shared" si="76"/>
        <v>#N/A</v>
      </c>
      <c r="C1792" s="209" t="e">
        <f t="shared" si="77"/>
        <v>#N/A</v>
      </c>
      <c r="D1792" t="s">
        <v>5539</v>
      </c>
      <c r="E1792" t="e">
        <v>#N/A</v>
      </c>
      <c r="F1792" t="e">
        <v>#N/A</v>
      </c>
      <c r="G1792" t="e">
        <v>#N/A</v>
      </c>
      <c r="H1792" s="214">
        <v>266</v>
      </c>
      <c r="I1792" s="425" t="e">
        <v>#N/A</v>
      </c>
      <c r="J1792" s="91">
        <v>59.974339999999998</v>
      </c>
      <c r="K1792" s="425">
        <v>5112.1819999999998</v>
      </c>
      <c r="L1792" s="542" t="s">
        <v>622</v>
      </c>
    </row>
    <row r="1793" spans="1:12" ht="15">
      <c r="A1793">
        <v>234223</v>
      </c>
      <c r="B1793" t="e">
        <f t="shared" si="76"/>
        <v>#N/A</v>
      </c>
      <c r="C1793" s="209" t="e">
        <f t="shared" si="77"/>
        <v>#N/A</v>
      </c>
      <c r="D1793" t="s">
        <v>5540</v>
      </c>
      <c r="E1793" t="e">
        <v>#N/A</v>
      </c>
      <c r="F1793" t="e">
        <v>#N/A</v>
      </c>
      <c r="G1793" t="e">
        <v>#N/A</v>
      </c>
      <c r="H1793" s="214">
        <v>392</v>
      </c>
      <c r="I1793" s="425" t="e">
        <v>#N/A</v>
      </c>
      <c r="J1793" s="91">
        <v>88.383210000000005</v>
      </c>
      <c r="K1793" s="425">
        <v>7533.7418699999998</v>
      </c>
      <c r="L1793" s="542" t="s">
        <v>622</v>
      </c>
    </row>
    <row r="1794" spans="1:12" ht="15">
      <c r="A1794">
        <v>234224</v>
      </c>
      <c r="B1794" t="e">
        <f t="shared" si="76"/>
        <v>#N/A</v>
      </c>
      <c r="C1794" s="209" t="e">
        <f t="shared" si="77"/>
        <v>#N/A</v>
      </c>
      <c r="D1794" t="s">
        <v>5541</v>
      </c>
      <c r="E1794" t="e">
        <v>#N/A</v>
      </c>
      <c r="F1794" t="e">
        <v>#N/A</v>
      </c>
      <c r="G1794" t="e">
        <v>#N/A</v>
      </c>
      <c r="H1794" s="214">
        <v>594.125</v>
      </c>
      <c r="I1794" s="425" t="e">
        <v>#N/A</v>
      </c>
      <c r="J1794" s="91">
        <v>133.95582999999999</v>
      </c>
      <c r="K1794" s="425">
        <v>11418.32769</v>
      </c>
      <c r="L1794" s="542" t="s">
        <v>622</v>
      </c>
    </row>
    <row r="1795" spans="1:12" ht="15">
      <c r="A1795">
        <v>234227</v>
      </c>
      <c r="B1795" t="e">
        <f t="shared" si="76"/>
        <v>#N/A</v>
      </c>
      <c r="C1795" s="209" t="e">
        <f t="shared" si="77"/>
        <v>#N/A</v>
      </c>
      <c r="D1795" t="s">
        <v>5542</v>
      </c>
      <c r="E1795" t="e">
        <v>#N/A</v>
      </c>
      <c r="F1795" t="e">
        <v>#N/A</v>
      </c>
      <c r="G1795" t="e">
        <v>#N/A</v>
      </c>
      <c r="H1795" s="214">
        <v>121.625</v>
      </c>
      <c r="I1795" s="425" t="e">
        <v>#N/A</v>
      </c>
      <c r="J1795" s="91">
        <v>27.42248</v>
      </c>
      <c r="K1795" s="425">
        <v>2337.4780999999998</v>
      </c>
      <c r="L1795" s="542" t="s">
        <v>622</v>
      </c>
    </row>
    <row r="1796" spans="1:12" ht="15">
      <c r="A1796">
        <v>234228</v>
      </c>
      <c r="B1796" t="e">
        <f t="shared" si="76"/>
        <v>#N/A</v>
      </c>
      <c r="C1796" s="209" t="e">
        <f t="shared" si="77"/>
        <v>#N/A</v>
      </c>
      <c r="D1796" t="s">
        <v>5543</v>
      </c>
      <c r="E1796" t="e">
        <v>#N/A</v>
      </c>
      <c r="F1796" t="e">
        <v>#N/A</v>
      </c>
      <c r="G1796" t="e">
        <v>#N/A</v>
      </c>
      <c r="H1796" s="214">
        <v>178.5</v>
      </c>
      <c r="I1796" s="425" t="e">
        <v>#N/A</v>
      </c>
      <c r="J1796" s="91">
        <v>40.245939999999997</v>
      </c>
      <c r="K1796" s="425">
        <v>3430.5431800000001</v>
      </c>
      <c r="L1796" s="542" t="s">
        <v>622</v>
      </c>
    </row>
    <row r="1797" spans="1:12" ht="15">
      <c r="A1797">
        <v>234229</v>
      </c>
      <c r="B1797" t="e">
        <f t="shared" si="76"/>
        <v>#N/A</v>
      </c>
      <c r="C1797" s="209" t="e">
        <f t="shared" si="77"/>
        <v>#N/A</v>
      </c>
      <c r="D1797" t="s">
        <v>5544</v>
      </c>
      <c r="E1797" t="e">
        <v>#N/A</v>
      </c>
      <c r="F1797" t="e">
        <v>#N/A</v>
      </c>
      <c r="G1797" t="e">
        <v>#N/A</v>
      </c>
      <c r="H1797" s="214">
        <v>271.25</v>
      </c>
      <c r="I1797" s="425" t="e">
        <v>#N/A</v>
      </c>
      <c r="J1797" s="91">
        <v>61.158029999999997</v>
      </c>
      <c r="K1797" s="425">
        <v>5213.08032</v>
      </c>
      <c r="L1797" s="542" t="s">
        <v>622</v>
      </c>
    </row>
    <row r="1798" spans="1:12" ht="15">
      <c r="A1798">
        <v>234233</v>
      </c>
      <c r="B1798" t="e">
        <f t="shared" si="76"/>
        <v>#N/A</v>
      </c>
      <c r="C1798" s="209" t="e">
        <f t="shared" si="77"/>
        <v>#N/A</v>
      </c>
      <c r="D1798" t="s">
        <v>5545</v>
      </c>
      <c r="E1798" t="e">
        <v>#N/A</v>
      </c>
      <c r="F1798" t="e">
        <v>#N/A</v>
      </c>
      <c r="G1798" t="e">
        <v>#N/A</v>
      </c>
      <c r="H1798" s="214">
        <v>281.75</v>
      </c>
      <c r="I1798" s="425" t="e">
        <v>#N/A</v>
      </c>
      <c r="J1798" s="91">
        <v>63.525449999999999</v>
      </c>
      <c r="K1798" s="425">
        <v>5414.8769899999998</v>
      </c>
      <c r="L1798" s="542" t="s">
        <v>622</v>
      </c>
    </row>
    <row r="1799" spans="1:12" ht="15">
      <c r="A1799">
        <v>234263</v>
      </c>
      <c r="B1799" t="str">
        <f t="shared" si="76"/>
        <v>SEVROLL Maxim horné vedenie 2,5m RAL9003 mat</v>
      </c>
      <c r="C1799" s="209" t="e">
        <f t="shared" si="77"/>
        <v>#N/A</v>
      </c>
      <c r="D1799" t="s">
        <v>5546</v>
      </c>
      <c r="E1799" t="s">
        <v>6537</v>
      </c>
      <c r="F1799" t="s">
        <v>7101</v>
      </c>
      <c r="G1799" t="s">
        <v>7674</v>
      </c>
      <c r="H1799" s="214">
        <v>0</v>
      </c>
      <c r="I1799" s="425" t="e">
        <v>#N/A</v>
      </c>
      <c r="J1799" s="91">
        <v>0</v>
      </c>
      <c r="K1799" s="425">
        <v>0</v>
      </c>
      <c r="L1799" s="542" t="s">
        <v>622</v>
      </c>
    </row>
    <row r="1800" spans="1:12" ht="15">
      <c r="A1800">
        <v>234285</v>
      </c>
      <c r="B1800" t="str">
        <f t="shared" si="76"/>
        <v>SEVROLL Maxim II spodné ved.2,5m RAL9003 mat</v>
      </c>
      <c r="C1800" s="209" t="e">
        <f t="shared" si="77"/>
        <v>#N/A</v>
      </c>
      <c r="D1800" t="s">
        <v>5547</v>
      </c>
      <c r="E1800" t="s">
        <v>6538</v>
      </c>
      <c r="F1800" t="s">
        <v>7102</v>
      </c>
      <c r="G1800" t="s">
        <v>7675</v>
      </c>
      <c r="H1800" s="214">
        <v>0</v>
      </c>
      <c r="I1800" s="425" t="e">
        <v>#N/A</v>
      </c>
      <c r="J1800" s="91">
        <v>0</v>
      </c>
      <c r="K1800" s="425">
        <v>0</v>
      </c>
      <c r="L1800" s="542" t="s">
        <v>622</v>
      </c>
    </row>
    <row r="1801" spans="1:12" ht="15">
      <c r="A1801">
        <v>234286</v>
      </c>
      <c r="B1801" t="str">
        <f t="shared" si="76"/>
        <v>SEVROLL Maxim II maska 2,5m RAL9003 mat</v>
      </c>
      <c r="C1801" s="209" t="e">
        <f t="shared" si="77"/>
        <v>#N/A</v>
      </c>
      <c r="D1801" t="s">
        <v>5548</v>
      </c>
      <c r="E1801" t="s">
        <v>6539</v>
      </c>
      <c r="F1801" t="s">
        <v>5548</v>
      </c>
      <c r="G1801" t="s">
        <v>7676</v>
      </c>
      <c r="H1801" s="214">
        <v>0</v>
      </c>
      <c r="I1801" s="425" t="e">
        <v>#N/A</v>
      </c>
      <c r="J1801" s="91">
        <v>0</v>
      </c>
      <c r="K1801" s="425">
        <v>0</v>
      </c>
      <c r="L1801" s="542" t="s">
        <v>622</v>
      </c>
    </row>
    <row r="1802" spans="1:12" ht="15">
      <c r="A1802">
        <v>234287</v>
      </c>
      <c r="B1802" t="str">
        <f t="shared" si="76"/>
        <v>SEVROLL Maxim vod.lišta 2,5m RAL9003 mat.</v>
      </c>
      <c r="C1802" s="209" t="e">
        <f t="shared" si="77"/>
        <v>#N/A</v>
      </c>
      <c r="D1802" t="s">
        <v>5549</v>
      </c>
      <c r="E1802" t="s">
        <v>6540</v>
      </c>
      <c r="F1802" t="s">
        <v>7103</v>
      </c>
      <c r="G1802" t="s">
        <v>7677</v>
      </c>
      <c r="H1802" s="214">
        <v>0</v>
      </c>
      <c r="I1802" s="425" t="e">
        <v>#N/A</v>
      </c>
      <c r="J1802" s="91">
        <v>0</v>
      </c>
      <c r="K1802" s="425">
        <v>0</v>
      </c>
      <c r="L1802" s="542" t="s">
        <v>622</v>
      </c>
    </row>
    <row r="1803" spans="1:12" ht="15">
      <c r="A1803">
        <v>234288</v>
      </c>
      <c r="B1803" t="str">
        <f t="shared" si="76"/>
        <v>SEVROLL Maxim spod.kr.lišta 2,5m RAL9003 mat</v>
      </c>
      <c r="C1803" s="209" t="e">
        <f t="shared" si="77"/>
        <v>#N/A</v>
      </c>
      <c r="D1803" t="s">
        <v>5550</v>
      </c>
      <c r="E1803" t="s">
        <v>6541</v>
      </c>
      <c r="F1803" t="s">
        <v>7104</v>
      </c>
      <c r="G1803" t="s">
        <v>7678</v>
      </c>
      <c r="H1803" s="214">
        <v>0</v>
      </c>
      <c r="I1803" s="425" t="e">
        <v>#N/A</v>
      </c>
      <c r="J1803" s="91">
        <v>0</v>
      </c>
      <c r="K1803" s="425">
        <v>0</v>
      </c>
      <c r="L1803" s="542" t="s">
        <v>622</v>
      </c>
    </row>
    <row r="1804" spans="1:12" ht="15">
      <c r="A1804">
        <v>234289</v>
      </c>
      <c r="B1804" t="str">
        <f t="shared" si="76"/>
        <v>SEVROLL Prosper úchytová lišta 2,7m RAL9003</v>
      </c>
      <c r="C1804" s="209" t="e">
        <f t="shared" si="77"/>
        <v>#N/A</v>
      </c>
      <c r="D1804" t="s">
        <v>5551</v>
      </c>
      <c r="E1804" t="s">
        <v>6542</v>
      </c>
      <c r="F1804" t="s">
        <v>7105</v>
      </c>
      <c r="G1804" t="s">
        <v>7679</v>
      </c>
      <c r="H1804" s="214">
        <v>0</v>
      </c>
      <c r="I1804" s="425" t="e">
        <v>#N/A</v>
      </c>
      <c r="J1804" s="91">
        <v>0</v>
      </c>
      <c r="K1804" s="425">
        <v>0</v>
      </c>
      <c r="L1804" s="542" t="s">
        <v>622</v>
      </c>
    </row>
    <row r="1805" spans="1:12" ht="15">
      <c r="A1805">
        <v>234643</v>
      </c>
      <c r="B1805" t="e">
        <f t="shared" si="76"/>
        <v>#N/A</v>
      </c>
      <c r="C1805" s="209" t="e">
        <f t="shared" si="77"/>
        <v>#N/A</v>
      </c>
      <c r="D1805" t="s">
        <v>5552</v>
      </c>
      <c r="E1805" t="e">
        <v>#N/A</v>
      </c>
      <c r="F1805" t="e">
        <v>#N/A</v>
      </c>
      <c r="G1805" t="e">
        <v>#N/A</v>
      </c>
      <c r="H1805" s="214">
        <v>486.02609999999999</v>
      </c>
      <c r="I1805" s="425" t="e">
        <v>#N/A</v>
      </c>
      <c r="J1805" s="91">
        <v>90.770870000000002</v>
      </c>
      <c r="K1805" s="425">
        <v>7097.9775099999997</v>
      </c>
      <c r="L1805" s="542" t="s">
        <v>622</v>
      </c>
    </row>
    <row r="1806" spans="1:12" ht="15">
      <c r="A1806">
        <v>234758</v>
      </c>
      <c r="B1806" t="str">
        <f t="shared" ref="B1806:B1858" si="78">IF($A$2=1,D1806,IF($A$2=2,F1806,IF($A$2=3,G1806,IF($A$2=4,E1806,"zadat jazyk"))))</f>
        <v>MSE-spojovacia lišta H16 3m strieborná</v>
      </c>
      <c r="C1806" s="209" t="e">
        <f t="shared" ref="C1806:C1858" si="79">IF($A$2=1,H1806,IF($A$2=2,I1806,IF($A$2=3,J1806,IF($A$2=4,K1806,"zadat jazyk"))))</f>
        <v>#N/A</v>
      </c>
      <c r="D1806" t="s">
        <v>5553</v>
      </c>
      <c r="E1806" t="s">
        <v>6543</v>
      </c>
      <c r="F1806" t="s">
        <v>7106</v>
      </c>
      <c r="G1806" t="s">
        <v>7680</v>
      </c>
      <c r="H1806" s="214">
        <v>0</v>
      </c>
      <c r="I1806" s="425" t="e">
        <v>#N/A</v>
      </c>
      <c r="J1806" s="91">
        <v>35.300089999999997</v>
      </c>
      <c r="K1806" s="425">
        <v>0</v>
      </c>
      <c r="L1806" s="542" t="s">
        <v>622</v>
      </c>
    </row>
    <row r="1807" spans="1:12" ht="15">
      <c r="A1807">
        <v>234759</v>
      </c>
      <c r="B1807" t="str">
        <f t="shared" si="78"/>
        <v>MSE-spojovacia lišta H16 3m oliva</v>
      </c>
      <c r="C1807" s="209" t="e">
        <f t="shared" si="79"/>
        <v>#N/A</v>
      </c>
      <c r="D1807" t="s">
        <v>5554</v>
      </c>
      <c r="E1807" t="s">
        <v>6544</v>
      </c>
      <c r="F1807" t="s">
        <v>7107</v>
      </c>
      <c r="G1807" t="s">
        <v>7681</v>
      </c>
      <c r="H1807" s="214">
        <v>0</v>
      </c>
      <c r="I1807" s="425" t="e">
        <v>#N/A</v>
      </c>
      <c r="J1807" s="91">
        <v>38.968910000000001</v>
      </c>
      <c r="K1807" s="425">
        <v>0</v>
      </c>
      <c r="L1807" s="542" t="s">
        <v>622</v>
      </c>
    </row>
    <row r="1808" spans="1:12" ht="15">
      <c r="A1808">
        <v>234763</v>
      </c>
      <c r="B1808" t="str">
        <f t="shared" si="78"/>
        <v>MSE-spojovacia lišta H08/16 3m strieborn</v>
      </c>
      <c r="C1808" s="209" t="e">
        <f t="shared" si="79"/>
        <v>#N/A</v>
      </c>
      <c r="D1808" t="s">
        <v>5555</v>
      </c>
      <c r="E1808" t="s">
        <v>6545</v>
      </c>
      <c r="F1808" t="s">
        <v>7108</v>
      </c>
      <c r="G1808" t="s">
        <v>7682</v>
      </c>
      <c r="H1808" s="214">
        <v>0</v>
      </c>
      <c r="I1808" s="425" t="e">
        <v>#N/A</v>
      </c>
      <c r="J1808" s="91">
        <v>28.229109999999999</v>
      </c>
      <c r="K1808" s="425">
        <v>0</v>
      </c>
      <c r="L1808" s="542" t="s">
        <v>622</v>
      </c>
    </row>
    <row r="1809" spans="1:12" ht="15">
      <c r="A1809">
        <v>234764</v>
      </c>
      <c r="B1809" t="str">
        <f t="shared" si="78"/>
        <v>MSE-spojovacia lišta H08/16 3m oliva</v>
      </c>
      <c r="C1809" s="209" t="e">
        <f t="shared" si="79"/>
        <v>#N/A</v>
      </c>
      <c r="D1809" t="s">
        <v>5556</v>
      </c>
      <c r="E1809" t="s">
        <v>6546</v>
      </c>
      <c r="F1809" t="s">
        <v>7109</v>
      </c>
      <c r="G1809" t="s">
        <v>7683</v>
      </c>
      <c r="H1809" s="214">
        <v>0</v>
      </c>
      <c r="I1809" s="425" t="e">
        <v>#N/A</v>
      </c>
      <c r="J1809" s="91">
        <v>25.880120000000002</v>
      </c>
      <c r="K1809" s="425">
        <v>0</v>
      </c>
      <c r="L1809" s="542" t="s">
        <v>622</v>
      </c>
    </row>
    <row r="1810" spans="1:12" ht="15">
      <c r="A1810">
        <v>234870</v>
      </c>
      <c r="B1810" t="str">
        <f t="shared" si="78"/>
        <v>SEVROLL zakázka Hančák RAL 7015 mat</v>
      </c>
      <c r="C1810" s="209" t="e">
        <f t="shared" si="79"/>
        <v>#N/A</v>
      </c>
      <c r="D1810" t="s">
        <v>5557</v>
      </c>
      <c r="E1810" t="s">
        <v>6547</v>
      </c>
      <c r="F1810" t="s">
        <v>5557</v>
      </c>
      <c r="G1810" t="s">
        <v>7684</v>
      </c>
      <c r="H1810" s="214">
        <v>0</v>
      </c>
      <c r="I1810" s="425" t="e">
        <v>#N/A</v>
      </c>
      <c r="J1810" s="91">
        <v>0</v>
      </c>
      <c r="K1810" s="425">
        <v>0</v>
      </c>
      <c r="L1810" s="542" t="s">
        <v>622</v>
      </c>
    </row>
    <row r="1811" spans="1:12" ht="15">
      <c r="A1811">
        <v>361223</v>
      </c>
      <c r="B1811" t="e">
        <f t="shared" si="78"/>
        <v>#N/A</v>
      </c>
      <c r="C1811" s="209" t="e">
        <f t="shared" si="79"/>
        <v>#N/A</v>
      </c>
      <c r="D1811" t="s">
        <v>5558</v>
      </c>
      <c r="E1811" t="e">
        <v>#N/A</v>
      </c>
      <c r="F1811" t="e">
        <v>#N/A</v>
      </c>
      <c r="G1811" t="e">
        <v>#N/A</v>
      </c>
      <c r="H1811" s="214">
        <v>455.01749999999998</v>
      </c>
      <c r="I1811" s="425" t="e">
        <v>#N/A</v>
      </c>
      <c r="J1811" s="91">
        <v>84.979659999999996</v>
      </c>
      <c r="K1811" s="425">
        <v>6852.5552600000001</v>
      </c>
      <c r="L1811" s="542" t="s">
        <v>622</v>
      </c>
    </row>
    <row r="1812" spans="1:12" ht="15">
      <c r="A1812">
        <v>361224</v>
      </c>
      <c r="B1812" t="e">
        <f t="shared" si="78"/>
        <v>#N/A</v>
      </c>
      <c r="C1812" s="209" t="e">
        <f t="shared" si="79"/>
        <v>#N/A</v>
      </c>
      <c r="D1812" t="s">
        <v>5559</v>
      </c>
      <c r="E1812" t="e">
        <v>#N/A</v>
      </c>
      <c r="F1812" t="e">
        <v>#N/A</v>
      </c>
      <c r="G1812" t="e">
        <v>#N/A</v>
      </c>
      <c r="H1812" s="214">
        <v>61.481110000000001</v>
      </c>
      <c r="I1812" s="425" t="e">
        <v>#N/A</v>
      </c>
      <c r="J1812" s="91">
        <v>11.4817</v>
      </c>
      <c r="K1812" s="425">
        <v>897.83015999999998</v>
      </c>
      <c r="L1812" s="542" t="s">
        <v>622</v>
      </c>
    </row>
    <row r="1813" spans="1:12" ht="15">
      <c r="A1813">
        <v>361361</v>
      </c>
      <c r="B1813" t="e">
        <f t="shared" si="78"/>
        <v>#N/A</v>
      </c>
      <c r="C1813" s="209" t="e">
        <f t="shared" si="79"/>
        <v>#N/A</v>
      </c>
      <c r="D1813" t="s">
        <v>5560</v>
      </c>
      <c r="E1813" t="e">
        <v>#N/A</v>
      </c>
      <c r="F1813" t="e">
        <v>#N/A</v>
      </c>
      <c r="G1813" t="e">
        <v>#N/A</v>
      </c>
      <c r="H1813" s="214">
        <v>562.22859000000005</v>
      </c>
      <c r="I1813" s="425" t="e">
        <v>#N/A</v>
      </c>
      <c r="J1813" s="91">
        <v>104.9971</v>
      </c>
      <c r="K1813" s="425">
        <v>8210.4205700000002</v>
      </c>
      <c r="L1813" s="542" t="s">
        <v>622</v>
      </c>
    </row>
    <row r="1814" spans="1:12" ht="15">
      <c r="A1814">
        <v>361362</v>
      </c>
      <c r="B1814" t="e">
        <f t="shared" si="78"/>
        <v>#N/A</v>
      </c>
      <c r="C1814" s="209" t="e">
        <f t="shared" si="79"/>
        <v>#N/A</v>
      </c>
      <c r="D1814" t="s">
        <v>5561</v>
      </c>
      <c r="E1814" t="e">
        <v>#N/A</v>
      </c>
      <c r="F1814" t="e">
        <v>#N/A</v>
      </c>
      <c r="G1814" t="e">
        <v>#N/A</v>
      </c>
      <c r="H1814" s="214">
        <v>32.35848</v>
      </c>
      <c r="I1814" s="425" t="e">
        <v>#N/A</v>
      </c>
      <c r="J1814" s="91">
        <v>5.7055999999999996</v>
      </c>
      <c r="K1814" s="425">
        <v>460.08564000000001</v>
      </c>
      <c r="L1814" s="542" t="s">
        <v>622</v>
      </c>
    </row>
    <row r="1815" spans="1:12" ht="15">
      <c r="A1815">
        <v>361363</v>
      </c>
      <c r="B1815" t="e">
        <f t="shared" si="78"/>
        <v>#N/A</v>
      </c>
      <c r="C1815" s="209" t="e">
        <f t="shared" si="79"/>
        <v>#N/A</v>
      </c>
      <c r="D1815" t="s">
        <v>5562</v>
      </c>
      <c r="E1815" t="e">
        <v>#N/A</v>
      </c>
      <c r="F1815" t="e">
        <v>#N/A</v>
      </c>
      <c r="G1815" t="e">
        <v>#N/A</v>
      </c>
      <c r="H1815" s="214">
        <v>354.59501</v>
      </c>
      <c r="I1815" s="425" t="e">
        <v>#N/A</v>
      </c>
      <c r="J1815" s="91">
        <v>66.221180000000004</v>
      </c>
      <c r="K1815" s="425">
        <v>5178.2748600000004</v>
      </c>
      <c r="L1815" s="542" t="s">
        <v>622</v>
      </c>
    </row>
    <row r="1816" spans="1:12" ht="15">
      <c r="A1816">
        <v>361457</v>
      </c>
      <c r="B1816" t="e">
        <f t="shared" si="78"/>
        <v>#N/A</v>
      </c>
      <c r="C1816" s="209" t="e">
        <f t="shared" si="79"/>
        <v>#N/A</v>
      </c>
      <c r="D1816" t="s">
        <v>5563</v>
      </c>
      <c r="E1816" t="e">
        <v>#N/A</v>
      </c>
      <c r="F1816" t="e">
        <v>#N/A</v>
      </c>
      <c r="G1816" t="e">
        <v>#N/A</v>
      </c>
      <c r="H1816" s="214">
        <v>599</v>
      </c>
      <c r="I1816" s="425" t="e">
        <v>#N/A</v>
      </c>
      <c r="J1816" s="91">
        <v>26.137080000000001</v>
      </c>
      <c r="K1816" s="425">
        <v>2097.3692000000001</v>
      </c>
      <c r="L1816" s="542" t="s">
        <v>621</v>
      </c>
    </row>
    <row r="1817" spans="1:12" ht="15">
      <c r="A1817">
        <v>361511</v>
      </c>
      <c r="B1817" t="str">
        <f t="shared" si="78"/>
        <v>SEVROLL vzorky Plachá</v>
      </c>
      <c r="C1817" s="209" t="e">
        <f t="shared" si="79"/>
        <v>#N/A</v>
      </c>
      <c r="D1817" t="s">
        <v>5564</v>
      </c>
      <c r="E1817" t="s">
        <v>6548</v>
      </c>
      <c r="F1817" t="s">
        <v>5564</v>
      </c>
      <c r="G1817" t="s">
        <v>7685</v>
      </c>
      <c r="H1817" s="214">
        <v>864.49659999999994</v>
      </c>
      <c r="I1817" s="425" t="e">
        <v>#N/A</v>
      </c>
      <c r="J1817" s="91">
        <v>153.17798999999999</v>
      </c>
      <c r="K1817" s="425">
        <v>12379.72171</v>
      </c>
      <c r="L1817" s="542" t="s">
        <v>622</v>
      </c>
    </row>
    <row r="1818" spans="1:12" ht="15">
      <c r="A1818">
        <v>361813</v>
      </c>
      <c r="B1818" t="e">
        <f t="shared" si="78"/>
        <v>#N/A</v>
      </c>
      <c r="C1818" s="209" t="e">
        <f t="shared" si="79"/>
        <v>#N/A</v>
      </c>
      <c r="D1818" t="s">
        <v>5565</v>
      </c>
      <c r="E1818" t="e">
        <v>#N/A</v>
      </c>
      <c r="F1818" t="e">
        <v>#N/A</v>
      </c>
      <c r="G1818" t="e">
        <v>#N/A</v>
      </c>
      <c r="H1818" s="214">
        <v>16.17924</v>
      </c>
      <c r="I1818" s="425" t="e">
        <v>#N/A</v>
      </c>
      <c r="J1818" s="91">
        <v>3.0215000000000001</v>
      </c>
      <c r="K1818" s="425">
        <v>236.27110999999999</v>
      </c>
      <c r="L1818" s="542" t="s">
        <v>622</v>
      </c>
    </row>
    <row r="1819" spans="1:12" ht="15">
      <c r="A1819">
        <v>361819</v>
      </c>
      <c r="B1819" t="e">
        <f t="shared" si="78"/>
        <v>#N/A</v>
      </c>
      <c r="C1819" s="209" t="e">
        <f t="shared" si="79"/>
        <v>#N/A</v>
      </c>
      <c r="D1819" t="s">
        <v>5566</v>
      </c>
      <c r="E1819" t="e">
        <v>#N/A</v>
      </c>
      <c r="F1819" t="e">
        <v>#N/A</v>
      </c>
      <c r="G1819" t="e">
        <v>#N/A</v>
      </c>
      <c r="H1819" s="214">
        <v>655.93335999999999</v>
      </c>
      <c r="I1819" s="425" t="e">
        <v>#N/A</v>
      </c>
      <c r="J1819" s="91">
        <v>122.49661</v>
      </c>
      <c r="K1819" s="425">
        <v>9578.8240000000005</v>
      </c>
      <c r="L1819" s="542" t="s">
        <v>622</v>
      </c>
    </row>
    <row r="1820" spans="1:12" ht="15">
      <c r="A1820">
        <v>361822</v>
      </c>
      <c r="B1820" t="e">
        <f t="shared" si="78"/>
        <v>#N/A</v>
      </c>
      <c r="C1820" s="209" t="e">
        <f t="shared" si="79"/>
        <v>#N/A</v>
      </c>
      <c r="D1820" t="s">
        <v>5567</v>
      </c>
      <c r="E1820" t="e">
        <v>#N/A</v>
      </c>
      <c r="F1820" t="e">
        <v>#N/A</v>
      </c>
      <c r="G1820" t="e">
        <v>#N/A</v>
      </c>
      <c r="H1820" s="214">
        <v>344.48298999999997</v>
      </c>
      <c r="I1820" s="425" t="e">
        <v>#N/A</v>
      </c>
      <c r="J1820" s="91">
        <v>64.332759999999993</v>
      </c>
      <c r="K1820" s="425">
        <v>5030.6054199999999</v>
      </c>
      <c r="L1820" s="542" t="s">
        <v>622</v>
      </c>
    </row>
    <row r="1821" spans="1:12" ht="15">
      <c r="A1821">
        <v>361829</v>
      </c>
      <c r="B1821" t="e">
        <f t="shared" si="78"/>
        <v>#N/A</v>
      </c>
      <c r="C1821" s="209" t="e">
        <f t="shared" si="79"/>
        <v>#N/A</v>
      </c>
      <c r="D1821" t="s">
        <v>5568</v>
      </c>
      <c r="E1821" t="e">
        <v>#N/A</v>
      </c>
      <c r="F1821" t="e">
        <v>#N/A</v>
      </c>
      <c r="G1821" t="e">
        <v>#N/A</v>
      </c>
      <c r="H1821" s="214">
        <v>319.53998999999999</v>
      </c>
      <c r="I1821" s="425" t="e">
        <v>#N/A</v>
      </c>
      <c r="J1821" s="91">
        <v>59.674619999999997</v>
      </c>
      <c r="K1821" s="425">
        <v>4666.3541400000004</v>
      </c>
      <c r="L1821" s="542" t="s">
        <v>622</v>
      </c>
    </row>
    <row r="1822" spans="1:12" ht="15">
      <c r="A1822">
        <v>361830</v>
      </c>
      <c r="B1822" t="e">
        <f t="shared" si="78"/>
        <v>#N/A</v>
      </c>
      <c r="C1822" s="209" t="e">
        <f t="shared" si="79"/>
        <v>#N/A</v>
      </c>
      <c r="D1822" t="s">
        <v>5569</v>
      </c>
      <c r="E1822" t="e">
        <v>#N/A</v>
      </c>
      <c r="F1822" t="e">
        <v>#N/A</v>
      </c>
      <c r="G1822" t="e">
        <v>#N/A</v>
      </c>
      <c r="H1822" s="214">
        <v>404.48099999999999</v>
      </c>
      <c r="I1822" s="425" t="e">
        <v>#N/A</v>
      </c>
      <c r="J1822" s="91">
        <v>75.537490000000005</v>
      </c>
      <c r="K1822" s="425">
        <v>5906.7773900000002</v>
      </c>
      <c r="L1822" s="542" t="s">
        <v>622</v>
      </c>
    </row>
    <row r="1823" spans="1:12" ht="15">
      <c r="A1823">
        <v>361831</v>
      </c>
      <c r="B1823" t="e">
        <f t="shared" si="78"/>
        <v>#N/A</v>
      </c>
      <c r="C1823" s="209" t="e">
        <f t="shared" si="79"/>
        <v>#N/A</v>
      </c>
      <c r="D1823" t="s">
        <v>5570</v>
      </c>
      <c r="E1823" t="e">
        <v>#N/A</v>
      </c>
      <c r="F1823" t="e">
        <v>#N/A</v>
      </c>
      <c r="G1823" t="e">
        <v>#N/A</v>
      </c>
      <c r="H1823" s="214">
        <v>404.48099999999999</v>
      </c>
      <c r="I1823" s="425" t="e">
        <v>#N/A</v>
      </c>
      <c r="J1823" s="91">
        <v>75.537490000000005</v>
      </c>
      <c r="K1823" s="425">
        <v>5906.7773900000002</v>
      </c>
      <c r="L1823" s="542" t="s">
        <v>622</v>
      </c>
    </row>
    <row r="1824" spans="1:12" ht="15">
      <c r="A1824">
        <v>361832</v>
      </c>
      <c r="B1824" t="e">
        <f t="shared" si="78"/>
        <v>#N/A</v>
      </c>
      <c r="C1824" s="209" t="e">
        <f t="shared" si="79"/>
        <v>#N/A</v>
      </c>
      <c r="D1824" t="s">
        <v>5571</v>
      </c>
      <c r="E1824" t="e">
        <v>#N/A</v>
      </c>
      <c r="F1824" t="e">
        <v>#N/A</v>
      </c>
      <c r="G1824" t="e">
        <v>#N/A</v>
      </c>
      <c r="H1824" s="214">
        <v>417.96370000000002</v>
      </c>
      <c r="I1824" s="425" t="e">
        <v>#N/A</v>
      </c>
      <c r="J1824" s="91">
        <v>78.055390000000003</v>
      </c>
      <c r="K1824" s="425">
        <v>6103.6699699999999</v>
      </c>
      <c r="L1824" s="542" t="s">
        <v>622</v>
      </c>
    </row>
    <row r="1825" spans="1:12" ht="15">
      <c r="A1825">
        <v>393868</v>
      </c>
      <c r="B1825" t="e">
        <f t="shared" si="78"/>
        <v>#N/A</v>
      </c>
      <c r="C1825" s="209" t="e">
        <f t="shared" si="79"/>
        <v>#N/A</v>
      </c>
      <c r="D1825" t="s">
        <v>5572</v>
      </c>
      <c r="E1825" t="e">
        <v>#N/A</v>
      </c>
      <c r="F1825" t="e">
        <v>#N/A</v>
      </c>
      <c r="G1825" t="e">
        <v>#N/A</v>
      </c>
      <c r="H1825" s="214">
        <v>9870.5776499999993</v>
      </c>
      <c r="I1825" s="425" t="e">
        <v>#N/A</v>
      </c>
      <c r="J1825" s="91">
        <v>1697.9898700000001</v>
      </c>
      <c r="K1825" s="425">
        <v>143656.85655</v>
      </c>
      <c r="L1825" s="542" t="s">
        <v>622</v>
      </c>
    </row>
    <row r="1826" spans="1:12" ht="15">
      <c r="A1826">
        <v>393927</v>
      </c>
      <c r="B1826" t="e">
        <f t="shared" si="78"/>
        <v>#N/A</v>
      </c>
      <c r="C1826" s="209" t="e">
        <f t="shared" si="79"/>
        <v>#N/A</v>
      </c>
      <c r="D1826" t="s">
        <v>5573</v>
      </c>
      <c r="E1826" t="e">
        <v>#N/A</v>
      </c>
      <c r="F1826" t="e">
        <v>#N/A</v>
      </c>
      <c r="G1826" t="e">
        <v>#N/A</v>
      </c>
      <c r="H1826" s="214">
        <v>2559.35835</v>
      </c>
      <c r="I1826" s="425" t="e">
        <v>#N/A</v>
      </c>
      <c r="J1826" s="91">
        <v>440.27458000000001</v>
      </c>
      <c r="K1826" s="425">
        <v>37249.023229999999</v>
      </c>
      <c r="L1826" s="542" t="s">
        <v>622</v>
      </c>
    </row>
    <row r="1827" spans="1:12" ht="15">
      <c r="A1827">
        <v>394231</v>
      </c>
      <c r="B1827" t="str">
        <f t="shared" si="78"/>
        <v/>
      </c>
      <c r="C1827" s="209">
        <f t="shared" si="79"/>
        <v>20.463249999999999</v>
      </c>
      <c r="D1827" t="s">
        <v>5574</v>
      </c>
      <c r="E1827" t="s">
        <v>6549</v>
      </c>
      <c r="F1827" t="s">
        <v>84</v>
      </c>
      <c r="G1827" t="s">
        <v>7686</v>
      </c>
      <c r="H1827" s="214">
        <v>474.37920000000003</v>
      </c>
      <c r="I1827" s="425">
        <v>20.463249999999999</v>
      </c>
      <c r="J1827" s="91">
        <v>80.650000000000006</v>
      </c>
      <c r="K1827" s="425">
        <v>5096.1546900000003</v>
      </c>
      <c r="L1827" s="542" t="s">
        <v>621</v>
      </c>
    </row>
    <row r="1828" spans="1:12" ht="15">
      <c r="A1828">
        <v>394265</v>
      </c>
      <c r="B1828" t="str">
        <f t="shared" si="78"/>
        <v>SEVROLL spod.krycia lišta Simple/Blue 3m(18mm) biela lesk</v>
      </c>
      <c r="C1828" s="209">
        <f t="shared" si="79"/>
        <v>30.218029999999999</v>
      </c>
      <c r="D1828" t="s">
        <v>5575</v>
      </c>
      <c r="E1828" t="s">
        <v>6550</v>
      </c>
      <c r="F1828" t="s">
        <v>7110</v>
      </c>
      <c r="G1828" t="s">
        <v>7687</v>
      </c>
      <c r="H1828" s="214">
        <v>701.06039999999996</v>
      </c>
      <c r="I1828" s="425">
        <v>30.218029999999999</v>
      </c>
      <c r="J1828" s="91">
        <v>121.02</v>
      </c>
      <c r="K1828" s="425">
        <v>7531.3425399999996</v>
      </c>
      <c r="L1828" s="542" t="s">
        <v>621</v>
      </c>
    </row>
    <row r="1829" spans="1:12" ht="15">
      <c r="A1829">
        <v>394267</v>
      </c>
      <c r="B1829" t="str">
        <f t="shared" si="78"/>
        <v>SEVROLL hor.vod.lišta Simple 2m (18mm) biela lesk</v>
      </c>
      <c r="C1829" s="209">
        <f t="shared" si="79"/>
        <v>10.544980000000001</v>
      </c>
      <c r="D1829" t="s">
        <v>5576</v>
      </c>
      <c r="E1829" t="s">
        <v>6551</v>
      </c>
      <c r="F1829" t="s">
        <v>7111</v>
      </c>
      <c r="G1829" t="s">
        <v>7688</v>
      </c>
      <c r="H1829" s="214">
        <v>243.94499999999999</v>
      </c>
      <c r="I1829" s="425">
        <v>10.544980000000001</v>
      </c>
      <c r="J1829" s="91">
        <v>41.85</v>
      </c>
      <c r="K1829" s="425">
        <v>2620.6491799999999</v>
      </c>
      <c r="L1829" s="542" t="s">
        <v>621</v>
      </c>
    </row>
    <row r="1830" spans="1:12" ht="15">
      <c r="A1830">
        <v>394270</v>
      </c>
      <c r="B1830" t="str">
        <f t="shared" si="78"/>
        <v>SEVROLL hor.vod.lišta Simple 3m(18mm) biela lesk</v>
      </c>
      <c r="C1830" s="209">
        <f t="shared" si="79"/>
        <v>15.449619999999999</v>
      </c>
      <c r="D1830" t="s">
        <v>5577</v>
      </c>
      <c r="E1830" t="s">
        <v>6552</v>
      </c>
      <c r="F1830" t="s">
        <v>7112</v>
      </c>
      <c r="G1830" t="s">
        <v>7504</v>
      </c>
      <c r="H1830" s="214">
        <v>358.03620000000001</v>
      </c>
      <c r="I1830" s="425">
        <v>15.449619999999999</v>
      </c>
      <c r="J1830" s="91">
        <v>62.78</v>
      </c>
      <c r="K1830" s="425">
        <v>3846.3066399999998</v>
      </c>
      <c r="L1830" s="542" t="s">
        <v>621</v>
      </c>
    </row>
    <row r="1831" spans="1:12" ht="15">
      <c r="A1831">
        <v>394273</v>
      </c>
      <c r="B1831" t="str">
        <f t="shared" si="78"/>
        <v>SEVROLL spoj.lišta Simple H21 3m(18mm) biela lesk</v>
      </c>
      <c r="C1831" s="209">
        <f t="shared" si="79"/>
        <v>17.193490000000001</v>
      </c>
      <c r="D1831" t="s">
        <v>5578</v>
      </c>
      <c r="E1831" t="s">
        <v>6553</v>
      </c>
      <c r="F1831" t="s">
        <v>7113</v>
      </c>
      <c r="G1831" t="s">
        <v>7689</v>
      </c>
      <c r="H1831" s="214">
        <v>427.84199999999998</v>
      </c>
      <c r="I1831" s="425">
        <v>17.193490000000001</v>
      </c>
      <c r="J1831" s="91">
        <v>58.07</v>
      </c>
      <c r="K1831" s="425">
        <v>4596.2154600000003</v>
      </c>
      <c r="L1831" s="542" t="s">
        <v>621</v>
      </c>
    </row>
    <row r="1832" spans="1:12" ht="15">
      <c r="A1832">
        <v>394281</v>
      </c>
      <c r="B1832" t="str">
        <f t="shared" si="78"/>
        <v>SEVROLL spojovacia lišta Simple / Blue H28 3m (18mm) biela lesk</v>
      </c>
      <c r="C1832" s="209">
        <f t="shared" si="79"/>
        <v>29.945550000000001</v>
      </c>
      <c r="D1832" t="s">
        <v>5579</v>
      </c>
      <c r="E1832" t="s">
        <v>6554</v>
      </c>
      <c r="F1832" t="s">
        <v>7114</v>
      </c>
      <c r="G1832" t="s">
        <v>7690</v>
      </c>
      <c r="H1832" s="214">
        <v>745.34580000000005</v>
      </c>
      <c r="I1832" s="425">
        <v>29.945550000000001</v>
      </c>
      <c r="J1832" s="91">
        <v>88.32</v>
      </c>
      <c r="K1832" s="425">
        <v>8007.0911599999999</v>
      </c>
      <c r="L1832" s="542" t="s">
        <v>621</v>
      </c>
    </row>
    <row r="1833" spans="1:12" ht="15">
      <c r="A1833">
        <v>394283</v>
      </c>
      <c r="B1833" t="str">
        <f t="shared" si="78"/>
        <v>SEVROLL Blue-V spodné vedenie 2m biela lesk</v>
      </c>
      <c r="C1833" s="209">
        <f t="shared" si="79"/>
        <v>13.950979999999999</v>
      </c>
      <c r="D1833" t="s">
        <v>5580</v>
      </c>
      <c r="E1833" t="s">
        <v>6555</v>
      </c>
      <c r="F1833" t="s">
        <v>7115</v>
      </c>
      <c r="G1833" t="s">
        <v>7691</v>
      </c>
      <c r="H1833" s="214">
        <v>306.2448</v>
      </c>
      <c r="I1833" s="425">
        <v>13.950979999999999</v>
      </c>
      <c r="J1833" s="91">
        <v>46</v>
      </c>
      <c r="K1833" s="425">
        <v>3289.9226399999998</v>
      </c>
      <c r="L1833" s="542" t="s">
        <v>621</v>
      </c>
    </row>
    <row r="1834" spans="1:12" ht="15">
      <c r="A1834">
        <v>394284</v>
      </c>
      <c r="B1834" t="str">
        <f t="shared" si="78"/>
        <v>SEVROLL Blue-V spodné vedenie 3m biela lesk</v>
      </c>
      <c r="C1834" s="209">
        <f t="shared" si="79"/>
        <v>20.408750000000001</v>
      </c>
      <c r="D1834" t="s">
        <v>5581</v>
      </c>
      <c r="E1834" t="s">
        <v>6556</v>
      </c>
      <c r="F1834" t="s">
        <v>7116</v>
      </c>
      <c r="G1834" t="s">
        <v>7692</v>
      </c>
      <c r="H1834" s="214">
        <v>448.10820000000001</v>
      </c>
      <c r="I1834" s="425">
        <v>20.408750000000001</v>
      </c>
      <c r="J1834" s="91">
        <v>69</v>
      </c>
      <c r="K1834" s="425">
        <v>4813.9309499999999</v>
      </c>
      <c r="L1834" s="542" t="s">
        <v>621</v>
      </c>
    </row>
    <row r="1835" spans="1:12" ht="15">
      <c r="A1835">
        <v>394285</v>
      </c>
      <c r="B1835" t="str">
        <f t="shared" si="78"/>
        <v/>
      </c>
      <c r="C1835" s="209">
        <f t="shared" si="79"/>
        <v>41.117229999999999</v>
      </c>
      <c r="D1835" t="s">
        <v>5582</v>
      </c>
      <c r="E1835" t="s">
        <v>6557</v>
      </c>
      <c r="F1835" t="s">
        <v>84</v>
      </c>
      <c r="G1835" t="s">
        <v>7693</v>
      </c>
      <c r="H1835" s="214">
        <v>902.97180000000003</v>
      </c>
      <c r="I1835" s="425">
        <v>41.117229999999999</v>
      </c>
      <c r="J1835" s="91">
        <v>137.93</v>
      </c>
      <c r="K1835" s="425">
        <v>9700.4336899999998</v>
      </c>
      <c r="L1835" s="542" t="s">
        <v>622</v>
      </c>
    </row>
    <row r="1836" spans="1:12" ht="15">
      <c r="A1836">
        <v>394287</v>
      </c>
      <c r="B1836" t="str">
        <f t="shared" si="78"/>
        <v/>
      </c>
      <c r="C1836" s="209">
        <f t="shared" si="79"/>
        <v>25.558620000000001</v>
      </c>
      <c r="D1836" t="s">
        <v>5583</v>
      </c>
      <c r="E1836" t="s">
        <v>6558</v>
      </c>
      <c r="F1836" t="s">
        <v>84</v>
      </c>
      <c r="G1836" t="s">
        <v>7694</v>
      </c>
      <c r="H1836" s="214">
        <v>610.98839999999996</v>
      </c>
      <c r="I1836" s="425">
        <v>25.558620000000001</v>
      </c>
      <c r="J1836" s="91">
        <v>68.459999999999994</v>
      </c>
      <c r="K1836" s="425">
        <v>6563.7182300000004</v>
      </c>
      <c r="L1836" s="542" t="s">
        <v>621</v>
      </c>
    </row>
    <row r="1837" spans="1:12" ht="15">
      <c r="A1837">
        <v>394289</v>
      </c>
      <c r="B1837" t="str">
        <f t="shared" si="78"/>
        <v>SEVROLL Blue horné vedenie 3m biela lesk</v>
      </c>
      <c r="C1837" s="209">
        <f t="shared" si="79"/>
        <v>37.874720000000003</v>
      </c>
      <c r="D1837" t="s">
        <v>5584</v>
      </c>
      <c r="E1837" t="s">
        <v>6559</v>
      </c>
      <c r="F1837" t="s">
        <v>7117</v>
      </c>
      <c r="G1837" t="s">
        <v>7695</v>
      </c>
      <c r="H1837" s="214">
        <v>905.22360000000003</v>
      </c>
      <c r="I1837" s="425">
        <v>37.874720000000003</v>
      </c>
      <c r="J1837" s="91">
        <v>101.43</v>
      </c>
      <c r="K1837" s="425">
        <v>9724.6243099999992</v>
      </c>
      <c r="L1837" s="542" t="s">
        <v>621</v>
      </c>
    </row>
    <row r="1838" spans="1:12" ht="15">
      <c r="A1838">
        <v>394290</v>
      </c>
      <c r="B1838" t="str">
        <f t="shared" si="78"/>
        <v/>
      </c>
      <c r="C1838" s="209">
        <f t="shared" si="79"/>
        <v>75.994669999999999</v>
      </c>
      <c r="D1838" t="s">
        <v>5585</v>
      </c>
      <c r="E1838" t="s">
        <v>6560</v>
      </c>
      <c r="F1838" t="s">
        <v>84</v>
      </c>
      <c r="G1838" t="s">
        <v>7696</v>
      </c>
      <c r="H1838" s="214">
        <v>1816.452</v>
      </c>
      <c r="I1838" s="425">
        <v>75.994669999999999</v>
      </c>
      <c r="J1838" s="91">
        <v>203.53</v>
      </c>
      <c r="K1838" s="425">
        <v>19513.7569</v>
      </c>
      <c r="L1838" s="542" t="s">
        <v>622</v>
      </c>
    </row>
    <row r="1839" spans="1:12" ht="15">
      <c r="A1839">
        <v>394690</v>
      </c>
      <c r="B1839" t="str">
        <f t="shared" si="78"/>
        <v>SEVROLL ROMEO II ÚCH.LIŠTA 2,7 M STR.</v>
      </c>
      <c r="C1839" s="209">
        <f t="shared" si="79"/>
        <v>24.15221</v>
      </c>
      <c r="D1839" t="s">
        <v>5586</v>
      </c>
      <c r="E1839" t="s">
        <v>6561</v>
      </c>
      <c r="F1839" t="s">
        <v>7118</v>
      </c>
      <c r="G1839" t="s">
        <v>7697</v>
      </c>
      <c r="H1839" s="214">
        <v>703.85152000000005</v>
      </c>
      <c r="I1839" s="425">
        <v>24.15221</v>
      </c>
      <c r="J1839" s="91">
        <v>83.18</v>
      </c>
      <c r="K1839" s="425">
        <v>7974.8370199999999</v>
      </c>
      <c r="L1839" s="542" t="s">
        <v>621</v>
      </c>
    </row>
    <row r="1840" spans="1:12" ht="15">
      <c r="A1840">
        <v>394691</v>
      </c>
      <c r="B1840" t="str">
        <f t="shared" si="78"/>
        <v/>
      </c>
      <c r="C1840" s="209">
        <f t="shared" si="79"/>
        <v>26.562609999999999</v>
      </c>
      <c r="D1840" t="s">
        <v>5587</v>
      </c>
      <c r="E1840" t="s">
        <v>6562</v>
      </c>
      <c r="F1840" t="s">
        <v>84</v>
      </c>
      <c r="G1840" t="s">
        <v>7698</v>
      </c>
      <c r="H1840" s="214">
        <v>774.30784000000006</v>
      </c>
      <c r="I1840" s="425">
        <v>26.562609999999999</v>
      </c>
      <c r="J1840" s="91">
        <v>91.5</v>
      </c>
      <c r="K1840" s="425">
        <v>8773.1270800000002</v>
      </c>
      <c r="L1840" s="542" t="s">
        <v>621</v>
      </c>
    </row>
    <row r="1841" spans="1:12" ht="15">
      <c r="A1841">
        <v>394791</v>
      </c>
      <c r="B1841" t="str">
        <f t="shared" si="78"/>
        <v>SEVROLL Alfa II lišta 18mm 2,7m biela mat</v>
      </c>
      <c r="C1841" s="209">
        <f t="shared" si="79"/>
        <v>19.355509999999999</v>
      </c>
      <c r="D1841" t="s">
        <v>5588</v>
      </c>
      <c r="E1841" t="s">
        <v>6563</v>
      </c>
      <c r="F1841" t="s">
        <v>7119</v>
      </c>
      <c r="G1841" t="s">
        <v>7699</v>
      </c>
      <c r="H1841" s="214">
        <v>547.99360000000001</v>
      </c>
      <c r="I1841" s="425">
        <v>19.355509999999999</v>
      </c>
      <c r="J1841" s="91">
        <v>68.13</v>
      </c>
      <c r="K1841" s="425">
        <v>6208.9226399999998</v>
      </c>
      <c r="L1841" s="542" t="s">
        <v>621</v>
      </c>
    </row>
    <row r="1842" spans="1:12" ht="15">
      <c r="A1842">
        <v>394792</v>
      </c>
      <c r="B1842" t="str">
        <f t="shared" si="78"/>
        <v>SEVROLL Elegant sp.ved. 1,7m biela mat</v>
      </c>
      <c r="C1842" s="209">
        <f t="shared" si="79"/>
        <v>11.73865</v>
      </c>
      <c r="D1842" t="s">
        <v>5589</v>
      </c>
      <c r="E1842" t="s">
        <v>6564</v>
      </c>
      <c r="F1842" t="s">
        <v>7120</v>
      </c>
      <c r="G1842" t="s">
        <v>7700</v>
      </c>
      <c r="H1842" s="214">
        <v>315.27424000000002</v>
      </c>
      <c r="I1842" s="425">
        <v>11.73865</v>
      </c>
      <c r="J1842" s="91">
        <v>41.72</v>
      </c>
      <c r="K1842" s="425">
        <v>3572.1464099999998</v>
      </c>
      <c r="L1842" s="542" t="s">
        <v>621</v>
      </c>
    </row>
    <row r="1843" spans="1:12" ht="15">
      <c r="A1843">
        <v>394795</v>
      </c>
      <c r="B1843" t="str">
        <f t="shared" si="78"/>
        <v>SEVROLL Elegant spod.ved. 2,35m biela mat</v>
      </c>
      <c r="C1843" s="209">
        <f t="shared" si="79"/>
        <v>16.270199999999999</v>
      </c>
      <c r="D1843" t="s">
        <v>5590</v>
      </c>
      <c r="E1843" t="s">
        <v>6565</v>
      </c>
      <c r="F1843" t="s">
        <v>7121</v>
      </c>
      <c r="G1843" t="s">
        <v>7701</v>
      </c>
      <c r="H1843" s="214">
        <v>436.97152</v>
      </c>
      <c r="I1843" s="425">
        <v>16.270199999999999</v>
      </c>
      <c r="J1843" s="91">
        <v>57.66</v>
      </c>
      <c r="K1843" s="425">
        <v>4951.0110500000001</v>
      </c>
      <c r="L1843" s="542" t="s">
        <v>621</v>
      </c>
    </row>
    <row r="1844" spans="1:12" ht="15">
      <c r="A1844">
        <v>394796</v>
      </c>
      <c r="B1844" t="str">
        <f t="shared" si="78"/>
        <v>SEVROLL Elegant spod.ved.4,05m biela mat</v>
      </c>
      <c r="C1844" s="209">
        <f t="shared" si="79"/>
        <v>28.008849999999999</v>
      </c>
      <c r="D1844" t="s">
        <v>5591</v>
      </c>
      <c r="E1844" t="s">
        <v>6566</v>
      </c>
      <c r="F1844" t="s">
        <v>7122</v>
      </c>
      <c r="G1844" t="s">
        <v>7702</v>
      </c>
      <c r="H1844" s="214">
        <v>751.53408000000002</v>
      </c>
      <c r="I1844" s="425">
        <v>28.008849999999999</v>
      </c>
      <c r="J1844" s="91">
        <v>99.34</v>
      </c>
      <c r="K1844" s="425">
        <v>8515.0939199999993</v>
      </c>
      <c r="L1844" s="542" t="s">
        <v>621</v>
      </c>
    </row>
    <row r="1845" spans="1:12" ht="15">
      <c r="A1845">
        <v>394800</v>
      </c>
      <c r="B1845" t="str">
        <f t="shared" si="78"/>
        <v>SEVROLL Elegant spodné vedenie 6m biela mat</v>
      </c>
      <c r="C1845" s="209">
        <f t="shared" si="79"/>
        <v>41.362459999999999</v>
      </c>
      <c r="D1845" t="s">
        <v>5592</v>
      </c>
      <c r="E1845" t="s">
        <v>6567</v>
      </c>
      <c r="F1845" t="s">
        <v>7123</v>
      </c>
      <c r="G1845" t="s">
        <v>7703</v>
      </c>
      <c r="H1845" s="214">
        <v>1110.2208000000001</v>
      </c>
      <c r="I1845" s="425">
        <v>41.362459999999999</v>
      </c>
      <c r="J1845" s="91">
        <v>147.18</v>
      </c>
      <c r="K1845" s="425">
        <v>12579.116029999999</v>
      </c>
      <c r="L1845" s="542" t="s">
        <v>622</v>
      </c>
    </row>
    <row r="1846" spans="1:12" ht="15">
      <c r="A1846">
        <v>293169</v>
      </c>
      <c r="B1846" t="e">
        <f t="shared" si="78"/>
        <v>#N/A</v>
      </c>
      <c r="C1846" s="209" t="e">
        <f t="shared" si="79"/>
        <v>#N/A</v>
      </c>
      <c r="D1846" t="s">
        <v>5593</v>
      </c>
      <c r="E1846" t="e">
        <v>#N/A</v>
      </c>
      <c r="F1846" t="e">
        <v>#N/A</v>
      </c>
      <c r="G1846" t="e">
        <v>#N/A</v>
      </c>
      <c r="H1846" s="214">
        <v>5385.3756000000003</v>
      </c>
      <c r="I1846" s="425" t="e">
        <v>#N/A</v>
      </c>
      <c r="J1846" s="91">
        <v>653.71307999999999</v>
      </c>
      <c r="K1846" s="425">
        <v>58676.41575</v>
      </c>
      <c r="L1846" s="542" t="s">
        <v>622</v>
      </c>
    </row>
    <row r="1847" spans="1:12" ht="15">
      <c r="A1847">
        <v>293175</v>
      </c>
      <c r="B1847" t="e">
        <f t="shared" si="78"/>
        <v>#N/A</v>
      </c>
      <c r="C1847" s="209" t="e">
        <f t="shared" si="79"/>
        <v>#N/A</v>
      </c>
      <c r="D1847" t="s">
        <v>5594</v>
      </c>
      <c r="E1847" t="e">
        <v>#N/A</v>
      </c>
      <c r="F1847" t="e">
        <v>#N/A</v>
      </c>
      <c r="G1847" t="e">
        <v>#N/A</v>
      </c>
      <c r="H1847" s="214">
        <v>11804.624</v>
      </c>
      <c r="I1847" s="425" t="e">
        <v>#N/A</v>
      </c>
      <c r="J1847" s="91">
        <v>1432.9245800000001</v>
      </c>
      <c r="K1847" s="425">
        <v>128617.40332</v>
      </c>
      <c r="L1847" s="542" t="s">
        <v>622</v>
      </c>
    </row>
    <row r="1848" spans="1:12" ht="15">
      <c r="A1848">
        <v>293197</v>
      </c>
      <c r="B1848" t="e">
        <f t="shared" si="78"/>
        <v>#N/A</v>
      </c>
      <c r="C1848" s="209" t="e">
        <f t="shared" si="79"/>
        <v>#N/A</v>
      </c>
      <c r="D1848" t="s">
        <v>5595</v>
      </c>
      <c r="E1848" t="e">
        <v>#N/A</v>
      </c>
      <c r="F1848" t="e">
        <v>#N/A</v>
      </c>
      <c r="G1848" t="e">
        <v>#N/A</v>
      </c>
      <c r="H1848" s="214">
        <v>17908.09</v>
      </c>
      <c r="I1848" s="425" t="e">
        <v>#N/A</v>
      </c>
      <c r="J1848" s="91">
        <v>1964.4333200000001</v>
      </c>
      <c r="K1848" s="425">
        <v>181614.66850999999</v>
      </c>
      <c r="L1848" s="542" t="s">
        <v>622</v>
      </c>
    </row>
    <row r="1849" spans="1:12" ht="15">
      <c r="A1849">
        <v>293268</v>
      </c>
      <c r="B1849" t="e">
        <f t="shared" si="78"/>
        <v>#N/A</v>
      </c>
      <c r="C1849" s="209" t="e">
        <f t="shared" si="79"/>
        <v>#N/A</v>
      </c>
      <c r="D1849" t="s">
        <v>5596</v>
      </c>
      <c r="E1849" t="e">
        <v>#N/A</v>
      </c>
      <c r="F1849" t="e">
        <v>#N/A</v>
      </c>
      <c r="G1849" t="e">
        <v>#N/A</v>
      </c>
      <c r="H1849" s="214">
        <v>13911.344800000001</v>
      </c>
      <c r="I1849" s="425" t="e">
        <v>#N/A</v>
      </c>
      <c r="J1849" s="91">
        <v>1688.6524999999999</v>
      </c>
      <c r="K1849" s="425">
        <v>151571.20165</v>
      </c>
      <c r="L1849" s="542" t="s">
        <v>622</v>
      </c>
    </row>
    <row r="1850" spans="1:12" ht="15">
      <c r="A1850">
        <v>344179</v>
      </c>
      <c r="B1850" t="str">
        <f t="shared" si="78"/>
        <v>Sevroll zakázka Albakmen RAL9003 lesk</v>
      </c>
      <c r="C1850" s="209" t="e">
        <f t="shared" si="79"/>
        <v>#N/A</v>
      </c>
      <c r="D1850" t="s">
        <v>5597</v>
      </c>
      <c r="E1850" t="s">
        <v>6568</v>
      </c>
      <c r="F1850" t="s">
        <v>5597</v>
      </c>
      <c r="G1850" t="s">
        <v>7449</v>
      </c>
      <c r="H1850" s="214">
        <v>0</v>
      </c>
      <c r="I1850" s="425" t="e">
        <v>#N/A</v>
      </c>
      <c r="J1850" s="91">
        <v>0</v>
      </c>
      <c r="K1850" s="425">
        <v>0</v>
      </c>
      <c r="L1850" s="542" t="s">
        <v>622</v>
      </c>
    </row>
    <row r="1851" spans="1:12" ht="15">
      <c r="A1851">
        <v>146978</v>
      </c>
      <c r="B1851" t="e">
        <f t="shared" si="78"/>
        <v>#N/A</v>
      </c>
      <c r="C1851" s="209" t="e">
        <f t="shared" si="79"/>
        <v>#N/A</v>
      </c>
      <c r="D1851" t="s">
        <v>5598</v>
      </c>
      <c r="E1851" t="e">
        <v>#N/A</v>
      </c>
      <c r="F1851" t="e">
        <v>#N/A</v>
      </c>
      <c r="G1851" t="e">
        <v>#N/A</v>
      </c>
      <c r="H1851" s="214">
        <v>41.745899999999999</v>
      </c>
      <c r="I1851" s="425" t="e">
        <v>#N/A</v>
      </c>
      <c r="J1851" s="91">
        <v>7.7803699999999996</v>
      </c>
      <c r="K1851" s="425">
        <v>627.38950999999997</v>
      </c>
      <c r="L1851" s="542" t="s">
        <v>622</v>
      </c>
    </row>
    <row r="1852" spans="1:12" ht="15">
      <c r="A1852">
        <v>146979</v>
      </c>
      <c r="B1852" t="e">
        <f t="shared" si="78"/>
        <v>#N/A</v>
      </c>
      <c r="C1852" s="209" t="e">
        <f t="shared" si="79"/>
        <v>#N/A</v>
      </c>
      <c r="D1852" t="s">
        <v>5599</v>
      </c>
      <c r="E1852" t="e">
        <v>#N/A</v>
      </c>
      <c r="F1852" t="e">
        <v>#N/A</v>
      </c>
      <c r="G1852" t="e">
        <v>#N/A</v>
      </c>
      <c r="H1852" s="214">
        <v>6.9576500000000001</v>
      </c>
      <c r="I1852" s="425" t="e">
        <v>#N/A</v>
      </c>
      <c r="J1852" s="91">
        <v>1.2967200000000001</v>
      </c>
      <c r="K1852" s="425">
        <v>104.56492</v>
      </c>
      <c r="L1852" s="542" t="s">
        <v>622</v>
      </c>
    </row>
    <row r="1853" spans="1:12" ht="15">
      <c r="A1853">
        <v>272998</v>
      </c>
      <c r="B1853" t="str">
        <f t="shared" si="78"/>
        <v>MSE-imbusový klúc SEVROLL</v>
      </c>
      <c r="C1853" s="209" t="e">
        <f t="shared" si="79"/>
        <v>#N/A</v>
      </c>
      <c r="D1853" t="s">
        <v>5600</v>
      </c>
      <c r="E1853" t="s">
        <v>6569</v>
      </c>
      <c r="F1853" t="s">
        <v>7124</v>
      </c>
      <c r="G1853" t="s">
        <v>7704</v>
      </c>
      <c r="H1853" s="214">
        <v>0</v>
      </c>
      <c r="I1853" s="425" t="e">
        <v>#N/A</v>
      </c>
      <c r="J1853" s="91">
        <v>0</v>
      </c>
      <c r="K1853" s="425">
        <v>0</v>
      </c>
      <c r="L1853" s="542" t="s">
        <v>622</v>
      </c>
    </row>
    <row r="1854" spans="1:12" ht="15">
      <c r="A1854">
        <v>378570</v>
      </c>
      <c r="B1854" t="str">
        <f t="shared" si="78"/>
        <v/>
      </c>
      <c r="C1854" s="209">
        <f t="shared" si="79"/>
        <v>5.3143200000000004</v>
      </c>
      <c r="D1854" t="s">
        <v>5601</v>
      </c>
      <c r="E1854" t="s">
        <v>6570</v>
      </c>
      <c r="F1854" t="s">
        <v>84</v>
      </c>
      <c r="G1854" t="s">
        <v>84</v>
      </c>
      <c r="H1854" s="214">
        <v>158.12154000000001</v>
      </c>
      <c r="I1854" s="425">
        <v>5.3143200000000004</v>
      </c>
      <c r="J1854" s="91">
        <v>30.01</v>
      </c>
      <c r="K1854" s="425">
        <v>1704.8618799999999</v>
      </c>
      <c r="L1854" s="542" t="s">
        <v>622</v>
      </c>
    </row>
    <row r="1855" spans="1:12" ht="15">
      <c r="A1855">
        <v>378693</v>
      </c>
      <c r="B1855" t="str">
        <f t="shared" si="78"/>
        <v/>
      </c>
      <c r="C1855" s="209">
        <f t="shared" si="79"/>
        <v>0</v>
      </c>
      <c r="D1855" t="s">
        <v>5602</v>
      </c>
      <c r="E1855" t="s">
        <v>84</v>
      </c>
      <c r="F1855" t="s">
        <v>84</v>
      </c>
      <c r="G1855" t="s">
        <v>84</v>
      </c>
      <c r="H1855" s="214">
        <v>26.176480000000002</v>
      </c>
      <c r="I1855" s="425">
        <v>0</v>
      </c>
      <c r="J1855" s="91">
        <v>2.29447</v>
      </c>
      <c r="K1855" s="425">
        <v>192.68049999999999</v>
      </c>
      <c r="L1855" s="542" t="s">
        <v>624</v>
      </c>
    </row>
    <row r="1856" spans="1:12" ht="15">
      <c r="A1856">
        <v>378694</v>
      </c>
      <c r="B1856" t="str">
        <f t="shared" si="78"/>
        <v/>
      </c>
      <c r="C1856" s="209">
        <f t="shared" si="79"/>
        <v>0</v>
      </c>
      <c r="D1856" t="s">
        <v>5603</v>
      </c>
      <c r="E1856" t="s">
        <v>84</v>
      </c>
      <c r="F1856" t="s">
        <v>84</v>
      </c>
      <c r="G1856" t="s">
        <v>84</v>
      </c>
      <c r="H1856" s="214">
        <v>39.660020000000003</v>
      </c>
      <c r="I1856" s="425">
        <v>0</v>
      </c>
      <c r="J1856" s="91">
        <v>1.7729999999999999</v>
      </c>
      <c r="K1856" s="425">
        <v>0</v>
      </c>
      <c r="L1856" s="542" t="s">
        <v>624</v>
      </c>
    </row>
    <row r="1857" spans="1:12" ht="15">
      <c r="A1857">
        <v>378695</v>
      </c>
      <c r="B1857" t="str">
        <f t="shared" si="78"/>
        <v/>
      </c>
      <c r="C1857" s="209" t="e">
        <f t="shared" si="79"/>
        <v>#N/A</v>
      </c>
      <c r="D1857" t="s">
        <v>5604</v>
      </c>
      <c r="E1857" t="s">
        <v>84</v>
      </c>
      <c r="F1857" t="s">
        <v>84</v>
      </c>
      <c r="G1857" t="s">
        <v>84</v>
      </c>
      <c r="H1857" s="214">
        <v>194.01939999999999</v>
      </c>
      <c r="I1857" s="425" t="e">
        <v>#N/A</v>
      </c>
      <c r="J1857" s="91">
        <v>18.69989</v>
      </c>
      <c r="K1857" s="425">
        <v>2091.9115999999999</v>
      </c>
      <c r="L1857" s="542" t="s">
        <v>624</v>
      </c>
    </row>
    <row r="1858" spans="1:12" ht="15">
      <c r="A1858">
        <v>378696</v>
      </c>
      <c r="B1858" t="str">
        <f t="shared" si="78"/>
        <v/>
      </c>
      <c r="C1858" s="209">
        <f t="shared" si="79"/>
        <v>0</v>
      </c>
      <c r="D1858" t="s">
        <v>5605</v>
      </c>
      <c r="E1858" t="s">
        <v>84</v>
      </c>
      <c r="F1858" t="s">
        <v>84</v>
      </c>
      <c r="G1858" t="s">
        <v>84</v>
      </c>
      <c r="H1858" s="214">
        <v>0</v>
      </c>
      <c r="I1858" s="425">
        <v>0</v>
      </c>
      <c r="J1858" s="91">
        <v>0</v>
      </c>
      <c r="K1858" s="425">
        <v>0</v>
      </c>
      <c r="L1858" s="542" t="s">
        <v>624</v>
      </c>
    </row>
    <row r="1859" spans="1:12" ht="15">
      <c r="A1859">
        <v>308132</v>
      </c>
      <c r="B1859" t="e">
        <f t="shared" ref="B1859:B1894" si="80">IF($A$2=1,D1859,IF($A$2=2,F1859,IF($A$2=3,G1859,IF($A$2=4,E1859,"zadat jazyk"))))</f>
        <v>#N/A</v>
      </c>
      <c r="C1859" s="209" t="e">
        <f t="shared" ref="C1859:C1894" si="81">IF($A$2=1,H1859,IF($A$2=2,I1859,IF($A$2=3,J1859,IF($A$2=4,K1859,"zadat jazyk"))))</f>
        <v>#N/A</v>
      </c>
      <c r="D1859" t="s">
        <v>5606</v>
      </c>
      <c r="E1859" t="e">
        <v>#N/A</v>
      </c>
      <c r="F1859" t="e">
        <v>#N/A</v>
      </c>
      <c r="G1859" t="e">
        <v>#N/A</v>
      </c>
      <c r="H1859" s="214">
        <v>16053.168</v>
      </c>
      <c r="I1859" s="425" t="e">
        <v>#N/A</v>
      </c>
      <c r="J1859" s="91">
        <v>1834.0154299999999</v>
      </c>
      <c r="K1859" s="425">
        <v>164618.78453</v>
      </c>
      <c r="L1859" s="542" t="s">
        <v>622</v>
      </c>
    </row>
    <row r="1860" spans="1:12" ht="15">
      <c r="A1860">
        <v>425057</v>
      </c>
      <c r="B1860" t="str">
        <f t="shared" si="80"/>
        <v>SEVROLL Fox II úch.lišta 2,7m čierna mat</v>
      </c>
      <c r="C1860" s="209">
        <f t="shared" si="81"/>
        <v>22.223890000000001</v>
      </c>
      <c r="D1860" t="s">
        <v>5607</v>
      </c>
      <c r="E1860" t="s">
        <v>6571</v>
      </c>
      <c r="F1860" t="s">
        <v>7125</v>
      </c>
      <c r="G1860" t="s">
        <v>7705</v>
      </c>
      <c r="H1860" s="214">
        <v>639.80032000000006</v>
      </c>
      <c r="I1860" s="425">
        <v>22.223890000000001</v>
      </c>
      <c r="J1860" s="91">
        <v>82.43</v>
      </c>
      <c r="K1860" s="425">
        <v>7249.1187900000004</v>
      </c>
      <c r="L1860" s="542" t="s">
        <v>622</v>
      </c>
    </row>
    <row r="1861" spans="1:12" ht="15">
      <c r="A1861">
        <v>452321</v>
      </c>
      <c r="B1861" t="str">
        <f t="shared" si="80"/>
        <v>SEVROLL Single horné vedenie 6m RAL9003 lesk</v>
      </c>
      <c r="C1861" s="209" t="e">
        <f t="shared" si="81"/>
        <v>#N/A</v>
      </c>
      <c r="D1861" t="s">
        <v>5608</v>
      </c>
      <c r="E1861" t="s">
        <v>6572</v>
      </c>
      <c r="F1861" t="s">
        <v>7126</v>
      </c>
      <c r="G1861" t="s">
        <v>7706</v>
      </c>
      <c r="H1861" s="214">
        <v>3198.2899200000002</v>
      </c>
      <c r="I1861" s="425" t="e">
        <v>#N/A</v>
      </c>
      <c r="J1861" s="91">
        <v>405.88986</v>
      </c>
      <c r="K1861" s="425">
        <v>36237.53039</v>
      </c>
      <c r="L1861" s="542" t="s">
        <v>622</v>
      </c>
    </row>
    <row r="1862" spans="1:12" ht="15">
      <c r="A1862">
        <v>452322</v>
      </c>
      <c r="B1862" t="str">
        <f t="shared" si="80"/>
        <v>SEVROLL Hide N spodné vedenie 6m  RAL9003 lesk</v>
      </c>
      <c r="C1862" s="209" t="e">
        <f t="shared" si="81"/>
        <v>#N/A</v>
      </c>
      <c r="D1862" t="s">
        <v>5609</v>
      </c>
      <c r="E1862" t="s">
        <v>6573</v>
      </c>
      <c r="F1862" t="s">
        <v>7127</v>
      </c>
      <c r="G1862" t="s">
        <v>7707</v>
      </c>
      <c r="H1862" s="214">
        <v>1471.56131</v>
      </c>
      <c r="I1862" s="425" t="e">
        <v>#N/A</v>
      </c>
      <c r="J1862" s="91">
        <v>199.7175</v>
      </c>
      <c r="K1862" s="425">
        <v>16543.95664</v>
      </c>
      <c r="L1862" s="542" t="s">
        <v>622</v>
      </c>
    </row>
    <row r="1863" spans="1:12" ht="15">
      <c r="A1863">
        <v>343109</v>
      </c>
      <c r="B1863" t="str">
        <f t="shared" si="80"/>
        <v>SEVROLL Eden sada kovania pre dvoje dvere</v>
      </c>
      <c r="C1863" s="209">
        <f t="shared" si="81"/>
        <v>48.352620000000002</v>
      </c>
      <c r="D1863" t="s">
        <v>5610</v>
      </c>
      <c r="E1863" t="s">
        <v>6574</v>
      </c>
      <c r="F1863" t="s">
        <v>6928</v>
      </c>
      <c r="G1863" t="s">
        <v>7466</v>
      </c>
      <c r="H1863" s="214">
        <v>1392.75776</v>
      </c>
      <c r="I1863" s="425">
        <v>48.352620000000002</v>
      </c>
      <c r="J1863" s="91">
        <v>164.59</v>
      </c>
      <c r="K1863" s="425">
        <v>15780.33977</v>
      </c>
      <c r="L1863" s="542" t="s">
        <v>621</v>
      </c>
    </row>
    <row r="1864" spans="1:12" ht="15">
      <c r="A1864">
        <v>343110</v>
      </c>
      <c r="B1864" t="str">
        <f t="shared" si="80"/>
        <v>SEVROLL Eden sada kovania pre vnútorné dvere</v>
      </c>
      <c r="C1864" s="209">
        <f t="shared" si="81"/>
        <v>23.911169999999998</v>
      </c>
      <c r="D1864" t="s">
        <v>5611</v>
      </c>
      <c r="E1864" t="s">
        <v>6575</v>
      </c>
      <c r="F1864" t="s">
        <v>7128</v>
      </c>
      <c r="G1864" t="s">
        <v>7708</v>
      </c>
      <c r="H1864" s="214">
        <v>688.19456000000002</v>
      </c>
      <c r="I1864" s="425">
        <v>23.911169999999998</v>
      </c>
      <c r="J1864" s="91">
        <v>81.33</v>
      </c>
      <c r="K1864" s="425">
        <v>7797.43923</v>
      </c>
      <c r="L1864" s="542" t="s">
        <v>621</v>
      </c>
    </row>
    <row r="1865" spans="1:12" ht="15">
      <c r="A1865">
        <v>343112</v>
      </c>
      <c r="B1865" t="str">
        <f t="shared" si="80"/>
        <v>SEVROLL Eden sada horného vedenia 1,7 m strieborná</v>
      </c>
      <c r="C1865" s="209">
        <f t="shared" si="81"/>
        <v>8.1471499999999999</v>
      </c>
      <c r="D1865" t="s">
        <v>5612</v>
      </c>
      <c r="E1865" t="s">
        <v>6576</v>
      </c>
      <c r="F1865" t="s">
        <v>7129</v>
      </c>
      <c r="G1865" t="s">
        <v>7709</v>
      </c>
      <c r="H1865" s="214">
        <v>234.8544</v>
      </c>
      <c r="I1865" s="425">
        <v>8.1471499999999999</v>
      </c>
      <c r="J1865" s="91">
        <v>27.65</v>
      </c>
      <c r="K1865" s="425">
        <v>2660.9668499999998</v>
      </c>
      <c r="L1865" s="542" t="s">
        <v>621</v>
      </c>
    </row>
    <row r="1866" spans="1:12" ht="15">
      <c r="A1866">
        <v>343113</v>
      </c>
      <c r="B1866" t="str">
        <f t="shared" si="80"/>
        <v/>
      </c>
      <c r="C1866" s="209">
        <f t="shared" si="81"/>
        <v>10.2683</v>
      </c>
      <c r="D1866" t="s">
        <v>5613</v>
      </c>
      <c r="E1866" t="s">
        <v>6577</v>
      </c>
      <c r="F1866" t="s">
        <v>84</v>
      </c>
      <c r="G1866" t="s">
        <v>7710</v>
      </c>
      <c r="H1866" s="214">
        <v>295.34719999999999</v>
      </c>
      <c r="I1866" s="425">
        <v>10.2683</v>
      </c>
      <c r="J1866" s="91">
        <v>34.9</v>
      </c>
      <c r="K1866" s="425">
        <v>3346.3674099999998</v>
      </c>
      <c r="L1866" s="542" t="s">
        <v>622</v>
      </c>
    </row>
    <row r="1867" spans="1:12" ht="15">
      <c r="A1867">
        <v>343115</v>
      </c>
      <c r="B1867" t="str">
        <f t="shared" si="80"/>
        <v>SEVROLL Eden hornej vedenie 2,35 m strieborná</v>
      </c>
      <c r="C1867" s="209">
        <f t="shared" si="81"/>
        <v>11.304779999999999</v>
      </c>
      <c r="D1867" t="s">
        <v>5614</v>
      </c>
      <c r="E1867" t="s">
        <v>6578</v>
      </c>
      <c r="F1867" t="s">
        <v>6927</v>
      </c>
      <c r="G1867" t="s">
        <v>7465</v>
      </c>
      <c r="H1867" s="214">
        <v>325.23775999999998</v>
      </c>
      <c r="I1867" s="425">
        <v>11.304779999999999</v>
      </c>
      <c r="J1867" s="91">
        <v>38.43</v>
      </c>
      <c r="K1867" s="425">
        <v>3685.0359199999998</v>
      </c>
      <c r="L1867" s="542" t="s">
        <v>621</v>
      </c>
    </row>
    <row r="1868" spans="1:12" ht="15">
      <c r="A1868">
        <v>343116</v>
      </c>
      <c r="B1868" t="str">
        <f t="shared" si="80"/>
        <v/>
      </c>
      <c r="C1868" s="209">
        <f t="shared" si="81"/>
        <v>14.149050000000001</v>
      </c>
      <c r="D1868" t="s">
        <v>5615</v>
      </c>
      <c r="E1868" t="s">
        <v>6579</v>
      </c>
      <c r="F1868" t="s">
        <v>84</v>
      </c>
      <c r="G1868" t="s">
        <v>7711</v>
      </c>
      <c r="H1868" s="214">
        <v>407.79264000000001</v>
      </c>
      <c r="I1868" s="425">
        <v>14.149050000000001</v>
      </c>
      <c r="J1868" s="91">
        <v>48.19</v>
      </c>
      <c r="K1868" s="425">
        <v>4620.4060799999997</v>
      </c>
      <c r="L1868" s="542" t="s">
        <v>622</v>
      </c>
    </row>
    <row r="1869" spans="1:12" ht="15">
      <c r="A1869">
        <v>343117</v>
      </c>
      <c r="B1869" t="str">
        <f t="shared" si="80"/>
        <v>SEVROLL Eden hornej vedenie 3m strieborná</v>
      </c>
      <c r="C1869" s="209">
        <f t="shared" si="81"/>
        <v>14.390090000000001</v>
      </c>
      <c r="D1869" t="s">
        <v>5616</v>
      </c>
      <c r="E1869" t="s">
        <v>6580</v>
      </c>
      <c r="F1869" t="s">
        <v>7130</v>
      </c>
      <c r="G1869" t="s">
        <v>7712</v>
      </c>
      <c r="H1869" s="214">
        <v>414.90944000000002</v>
      </c>
      <c r="I1869" s="425">
        <v>14.390090000000001</v>
      </c>
      <c r="J1869" s="91">
        <v>49.03</v>
      </c>
      <c r="K1869" s="425">
        <v>4701.04144</v>
      </c>
      <c r="L1869" s="542" t="s">
        <v>621</v>
      </c>
    </row>
    <row r="1870" spans="1:12" ht="15">
      <c r="A1870">
        <v>343118</v>
      </c>
      <c r="B1870" t="str">
        <f t="shared" si="80"/>
        <v/>
      </c>
      <c r="C1870" s="209">
        <f t="shared" si="81"/>
        <v>18.077999999999999</v>
      </c>
      <c r="D1870" t="s">
        <v>5617</v>
      </c>
      <c r="E1870" t="s">
        <v>6581</v>
      </c>
      <c r="F1870" t="s">
        <v>84</v>
      </c>
      <c r="G1870" t="s">
        <v>7713</v>
      </c>
      <c r="H1870" s="214">
        <v>520.94975999999997</v>
      </c>
      <c r="I1870" s="425">
        <v>18.077999999999999</v>
      </c>
      <c r="J1870" s="91">
        <v>61.56</v>
      </c>
      <c r="K1870" s="425">
        <v>5902.50828</v>
      </c>
      <c r="L1870" s="542" t="s">
        <v>622</v>
      </c>
    </row>
    <row r="1871" spans="1:12" ht="15">
      <c r="A1871">
        <v>343119</v>
      </c>
      <c r="B1871" t="str">
        <f t="shared" si="80"/>
        <v/>
      </c>
      <c r="C1871" s="209">
        <f t="shared" si="81"/>
        <v>28.85249</v>
      </c>
      <c r="D1871" t="s">
        <v>5618</v>
      </c>
      <c r="E1871" t="s">
        <v>6582</v>
      </c>
      <c r="F1871" t="s">
        <v>84</v>
      </c>
      <c r="G1871" t="s">
        <v>7714</v>
      </c>
      <c r="H1871" s="214">
        <v>830.53056000000004</v>
      </c>
      <c r="I1871" s="425">
        <v>28.85249</v>
      </c>
      <c r="J1871" s="91">
        <v>98.15</v>
      </c>
      <c r="K1871" s="425">
        <v>9410.1464099999994</v>
      </c>
      <c r="L1871" s="542" t="s">
        <v>622</v>
      </c>
    </row>
    <row r="1872" spans="1:12" ht="15">
      <c r="A1872">
        <v>343120</v>
      </c>
      <c r="B1872" t="str">
        <f t="shared" si="80"/>
        <v/>
      </c>
      <c r="C1872" s="209">
        <f t="shared" si="81"/>
        <v>36.107790000000001</v>
      </c>
      <c r="D1872" t="s">
        <v>5619</v>
      </c>
      <c r="E1872" t="s">
        <v>6583</v>
      </c>
      <c r="F1872" t="s">
        <v>84</v>
      </c>
      <c r="G1872" t="s">
        <v>7715</v>
      </c>
      <c r="H1872" s="214">
        <v>1040.4761599999999</v>
      </c>
      <c r="I1872" s="425">
        <v>36.107790000000001</v>
      </c>
      <c r="J1872" s="91">
        <v>122.96</v>
      </c>
      <c r="K1872" s="425">
        <v>11788.889510000001</v>
      </c>
      <c r="L1872" s="542" t="s">
        <v>622</v>
      </c>
    </row>
    <row r="1873" spans="1:12" ht="15">
      <c r="A1873">
        <v>343327</v>
      </c>
      <c r="B1873" t="str">
        <f t="shared" si="80"/>
        <v/>
      </c>
      <c r="C1873" s="209">
        <f t="shared" si="81"/>
        <v>21.163309999999999</v>
      </c>
      <c r="D1873" t="s">
        <v>5620</v>
      </c>
      <c r="E1873" t="s">
        <v>6584</v>
      </c>
      <c r="F1873" t="s">
        <v>84</v>
      </c>
      <c r="G1873" t="s">
        <v>7716</v>
      </c>
      <c r="H1873" s="214">
        <v>609.19808</v>
      </c>
      <c r="I1873" s="425">
        <v>21.163309999999999</v>
      </c>
      <c r="J1873" s="91">
        <v>71.989999999999995</v>
      </c>
      <c r="K1873" s="425">
        <v>6902.3867399999999</v>
      </c>
      <c r="L1873" s="542" t="s">
        <v>622</v>
      </c>
    </row>
    <row r="1874" spans="1:12" ht="15">
      <c r="A1874">
        <v>343328</v>
      </c>
      <c r="B1874" t="str">
        <f t="shared" si="80"/>
        <v/>
      </c>
      <c r="C1874" s="209">
        <f t="shared" si="81"/>
        <v>23.573709999999998</v>
      </c>
      <c r="D1874" t="s">
        <v>5621</v>
      </c>
      <c r="E1874" t="s">
        <v>6585</v>
      </c>
      <c r="F1874" t="s">
        <v>84</v>
      </c>
      <c r="G1874" t="s">
        <v>7717</v>
      </c>
      <c r="H1874" s="214">
        <v>678.94272000000001</v>
      </c>
      <c r="I1874" s="425">
        <v>23.573709999999998</v>
      </c>
      <c r="J1874" s="91">
        <v>80.23</v>
      </c>
      <c r="K1874" s="425">
        <v>7692.6132600000001</v>
      </c>
      <c r="L1874" s="542" t="s">
        <v>622</v>
      </c>
    </row>
    <row r="1875" spans="1:12" ht="15">
      <c r="A1875">
        <v>343329</v>
      </c>
      <c r="B1875" t="str">
        <f t="shared" si="80"/>
        <v/>
      </c>
      <c r="C1875" s="209">
        <f t="shared" si="81"/>
        <v>30.63618</v>
      </c>
      <c r="D1875" t="s">
        <v>5622</v>
      </c>
      <c r="E1875" t="s">
        <v>6586</v>
      </c>
      <c r="F1875" t="s">
        <v>84</v>
      </c>
      <c r="G1875" t="s">
        <v>7718</v>
      </c>
      <c r="H1875" s="214">
        <v>882.48320000000001</v>
      </c>
      <c r="I1875" s="425">
        <v>30.63618</v>
      </c>
      <c r="J1875" s="91">
        <v>104.29</v>
      </c>
      <c r="K1875" s="425">
        <v>9998.7845400000006</v>
      </c>
      <c r="L1875" s="542" t="s">
        <v>622</v>
      </c>
    </row>
    <row r="1876" spans="1:12" ht="15">
      <c r="A1876">
        <v>343330</v>
      </c>
      <c r="B1876" t="str">
        <f t="shared" si="80"/>
        <v/>
      </c>
      <c r="C1876" s="209">
        <f t="shared" si="81"/>
        <v>29.479189999999999</v>
      </c>
      <c r="D1876" t="s">
        <v>5623</v>
      </c>
      <c r="E1876" t="s">
        <v>6587</v>
      </c>
      <c r="F1876" t="s">
        <v>84</v>
      </c>
      <c r="G1876" t="s">
        <v>7719</v>
      </c>
      <c r="H1876" s="214">
        <v>849.74591999999996</v>
      </c>
      <c r="I1876" s="425">
        <v>29.479189999999999</v>
      </c>
      <c r="J1876" s="91">
        <v>100.42</v>
      </c>
      <c r="K1876" s="425">
        <v>9627.8618700000006</v>
      </c>
      <c r="L1876" s="542" t="s">
        <v>622</v>
      </c>
    </row>
    <row r="1877" spans="1:12" ht="15">
      <c r="A1877">
        <v>343331</v>
      </c>
      <c r="B1877" t="str">
        <f t="shared" si="80"/>
        <v/>
      </c>
      <c r="C1877" s="209">
        <f t="shared" si="81"/>
        <v>40.735759999999999</v>
      </c>
      <c r="D1877" t="s">
        <v>5624</v>
      </c>
      <c r="E1877" t="s">
        <v>6588</v>
      </c>
      <c r="F1877" t="s">
        <v>84</v>
      </c>
      <c r="G1877" t="s">
        <v>7720</v>
      </c>
      <c r="H1877" s="214">
        <v>1173.56032</v>
      </c>
      <c r="I1877" s="425">
        <v>40.735759999999999</v>
      </c>
      <c r="J1877" s="91">
        <v>138.68</v>
      </c>
      <c r="K1877" s="425">
        <v>13296.77072</v>
      </c>
      <c r="L1877" s="542" t="s">
        <v>622</v>
      </c>
    </row>
    <row r="1878" spans="1:12" ht="15">
      <c r="A1878">
        <v>343332</v>
      </c>
      <c r="B1878" t="str">
        <f t="shared" si="80"/>
        <v/>
      </c>
      <c r="C1878" s="209">
        <f t="shared" si="81"/>
        <v>42.302520000000001</v>
      </c>
      <c r="D1878" t="s">
        <v>5625</v>
      </c>
      <c r="E1878" t="s">
        <v>6589</v>
      </c>
      <c r="F1878" t="s">
        <v>84</v>
      </c>
      <c r="G1878" t="s">
        <v>7721</v>
      </c>
      <c r="H1878" s="214">
        <v>1219.1078399999999</v>
      </c>
      <c r="I1878" s="425">
        <v>42.302520000000001</v>
      </c>
      <c r="J1878" s="91">
        <v>144.07</v>
      </c>
      <c r="K1878" s="425">
        <v>13812.837020000001</v>
      </c>
      <c r="L1878" s="542" t="s">
        <v>622</v>
      </c>
    </row>
    <row r="1879" spans="1:12" ht="15">
      <c r="A1879">
        <v>343333</v>
      </c>
      <c r="B1879" t="str">
        <f t="shared" si="80"/>
        <v/>
      </c>
      <c r="C1879" s="209">
        <f t="shared" si="81"/>
        <v>32.61271</v>
      </c>
      <c r="D1879" t="s">
        <v>5626</v>
      </c>
      <c r="E1879" t="s">
        <v>6590</v>
      </c>
      <c r="F1879" t="s">
        <v>84</v>
      </c>
      <c r="G1879" t="s">
        <v>7722</v>
      </c>
      <c r="H1879" s="214">
        <v>938.70591999999999</v>
      </c>
      <c r="I1879" s="425">
        <v>32.61271</v>
      </c>
      <c r="J1879" s="91">
        <v>110.93</v>
      </c>
      <c r="K1879" s="425">
        <v>10635.80387</v>
      </c>
      <c r="L1879" s="542" t="s">
        <v>622</v>
      </c>
    </row>
    <row r="1880" spans="1:12" ht="15">
      <c r="A1880">
        <v>343334</v>
      </c>
      <c r="B1880" t="str">
        <f t="shared" si="80"/>
        <v/>
      </c>
      <c r="C1880" s="209">
        <f t="shared" si="81"/>
        <v>29.21405</v>
      </c>
      <c r="D1880" t="s">
        <v>5627</v>
      </c>
      <c r="E1880" t="s">
        <v>6591</v>
      </c>
      <c r="F1880" t="s">
        <v>84</v>
      </c>
      <c r="G1880" t="s">
        <v>7723</v>
      </c>
      <c r="H1880" s="214">
        <v>841.91744000000006</v>
      </c>
      <c r="I1880" s="425">
        <v>29.21405</v>
      </c>
      <c r="J1880" s="91">
        <v>99.49</v>
      </c>
      <c r="K1880" s="425">
        <v>9539.1629799999992</v>
      </c>
      <c r="L1880" s="542" t="s">
        <v>622</v>
      </c>
    </row>
    <row r="1881" spans="1:12" ht="15">
      <c r="A1881">
        <v>343335</v>
      </c>
      <c r="B1881" t="str">
        <f t="shared" si="80"/>
        <v/>
      </c>
      <c r="C1881" s="209">
        <f t="shared" si="81"/>
        <v>37.312989999999999</v>
      </c>
      <c r="D1881" t="s">
        <v>5628</v>
      </c>
      <c r="E1881" t="s">
        <v>6592</v>
      </c>
      <c r="F1881" t="s">
        <v>84</v>
      </c>
      <c r="G1881" t="s">
        <v>7724</v>
      </c>
      <c r="H1881" s="214">
        <v>1074.6368</v>
      </c>
      <c r="I1881" s="425">
        <v>37.312989999999999</v>
      </c>
      <c r="J1881" s="91">
        <v>126.99</v>
      </c>
      <c r="K1881" s="425">
        <v>12175.93923</v>
      </c>
      <c r="L1881" s="542" t="s">
        <v>622</v>
      </c>
    </row>
    <row r="1882" spans="1:12" ht="15">
      <c r="A1882">
        <v>343336</v>
      </c>
      <c r="B1882" t="str">
        <f t="shared" si="80"/>
        <v/>
      </c>
      <c r="C1882" s="209">
        <f t="shared" si="81"/>
        <v>41.603499999999997</v>
      </c>
      <c r="D1882" t="s">
        <v>5629</v>
      </c>
      <c r="E1882" t="s">
        <v>6593</v>
      </c>
      <c r="F1882" t="s">
        <v>84</v>
      </c>
      <c r="G1882" t="s">
        <v>7725</v>
      </c>
      <c r="H1882" s="214">
        <v>1198.46912</v>
      </c>
      <c r="I1882" s="425">
        <v>41.603499999999997</v>
      </c>
      <c r="J1882" s="91">
        <v>141.63</v>
      </c>
      <c r="K1882" s="425">
        <v>13578.994489999999</v>
      </c>
      <c r="L1882" s="542" t="s">
        <v>622</v>
      </c>
    </row>
    <row r="1883" spans="1:12" ht="15">
      <c r="A1883">
        <v>343337</v>
      </c>
      <c r="B1883" t="str">
        <f t="shared" si="80"/>
        <v/>
      </c>
      <c r="C1883" s="209">
        <f t="shared" si="81"/>
        <v>54.041170000000001</v>
      </c>
      <c r="D1883" t="s">
        <v>5630</v>
      </c>
      <c r="E1883" t="s">
        <v>6594</v>
      </c>
      <c r="F1883" t="s">
        <v>84</v>
      </c>
      <c r="G1883" t="s">
        <v>7726</v>
      </c>
      <c r="H1883" s="214">
        <v>1556.44416</v>
      </c>
      <c r="I1883" s="425">
        <v>54.041170000000001</v>
      </c>
      <c r="J1883" s="91">
        <v>183.93</v>
      </c>
      <c r="K1883" s="425">
        <v>17634.95305</v>
      </c>
      <c r="L1883" s="542" t="s">
        <v>622</v>
      </c>
    </row>
    <row r="1884" spans="1:12" ht="15">
      <c r="A1884">
        <v>343338</v>
      </c>
      <c r="B1884" t="str">
        <f t="shared" si="80"/>
        <v/>
      </c>
      <c r="C1884" s="209">
        <f t="shared" si="81"/>
        <v>52.04054</v>
      </c>
      <c r="D1884" t="s">
        <v>5631</v>
      </c>
      <c r="E1884" t="s">
        <v>6595</v>
      </c>
      <c r="F1884" t="s">
        <v>84</v>
      </c>
      <c r="G1884" t="s">
        <v>7727</v>
      </c>
      <c r="H1884" s="214">
        <v>1498.0863999999999</v>
      </c>
      <c r="I1884" s="425">
        <v>52.04054</v>
      </c>
      <c r="J1884" s="91">
        <v>177.03</v>
      </c>
      <c r="K1884" s="425">
        <v>16973.7431</v>
      </c>
      <c r="L1884" s="542" t="s">
        <v>622</v>
      </c>
    </row>
    <row r="1885" spans="1:12" ht="15">
      <c r="A1885">
        <v>343373</v>
      </c>
      <c r="B1885" t="str">
        <f t="shared" si="80"/>
        <v/>
      </c>
      <c r="C1885" s="209">
        <f t="shared" si="81"/>
        <v>3.8325399999999998</v>
      </c>
      <c r="D1885" t="s">
        <v>5632</v>
      </c>
      <c r="E1885" t="s">
        <v>6596</v>
      </c>
      <c r="F1885" t="s">
        <v>84</v>
      </c>
      <c r="G1885" t="s">
        <v>7728</v>
      </c>
      <c r="H1885" s="214">
        <v>110.3104</v>
      </c>
      <c r="I1885" s="425">
        <v>3.8325399999999998</v>
      </c>
      <c r="J1885" s="91">
        <v>13.04</v>
      </c>
      <c r="K1885" s="425">
        <v>1249.84808</v>
      </c>
      <c r="L1885" s="542" t="s">
        <v>622</v>
      </c>
    </row>
    <row r="1886" spans="1:12" ht="15">
      <c r="A1886">
        <v>306312</v>
      </c>
      <c r="B1886" t="str">
        <f t="shared" si="80"/>
        <v>SEVROLL vzorky Kronomak</v>
      </c>
      <c r="C1886" s="209" t="e">
        <f t="shared" si="81"/>
        <v>#N/A</v>
      </c>
      <c r="D1886" t="s">
        <v>5633</v>
      </c>
      <c r="E1886" t="s">
        <v>6597</v>
      </c>
      <c r="F1886" t="s">
        <v>5633</v>
      </c>
      <c r="G1886" t="s">
        <v>7729</v>
      </c>
      <c r="H1886" s="214">
        <v>5.9490000000000001E-2</v>
      </c>
      <c r="I1886" s="425" t="e">
        <v>#N/A</v>
      </c>
      <c r="J1886" s="91">
        <v>5.4200000000000003E-3</v>
      </c>
      <c r="K1886" s="425">
        <v>0.43791999999999998</v>
      </c>
      <c r="L1886" s="542" t="s">
        <v>624</v>
      </c>
    </row>
    <row r="1887" spans="1:12" ht="15">
      <c r="A1887">
        <v>377230</v>
      </c>
      <c r="B1887" t="str">
        <f t="shared" si="80"/>
        <v>V-SEVROLL okrasná lišta S10 3m strieborná</v>
      </c>
      <c r="C1887" s="209">
        <f t="shared" si="81"/>
        <v>3.1450499999999999</v>
      </c>
      <c r="D1887" t="s">
        <v>5634</v>
      </c>
      <c r="E1887" t="s">
        <v>6598</v>
      </c>
      <c r="F1887" t="s">
        <v>7131</v>
      </c>
      <c r="G1887" t="s">
        <v>7730</v>
      </c>
      <c r="H1887" s="214">
        <v>96.132400000000004</v>
      </c>
      <c r="I1887" s="425">
        <v>3.1450499999999999</v>
      </c>
      <c r="J1887" s="91">
        <v>13.181929999999999</v>
      </c>
      <c r="K1887" s="425">
        <v>0</v>
      </c>
      <c r="L1887" s="542" t="s">
        <v>624</v>
      </c>
    </row>
    <row r="1888" spans="1:12" ht="15">
      <c r="A1888">
        <v>377236</v>
      </c>
      <c r="B1888" t="str">
        <f t="shared" si="80"/>
        <v>V-SEVROLL okrasná lišta S20 3m strieborná</v>
      </c>
      <c r="C1888" s="209">
        <f t="shared" si="81"/>
        <v>5.6752799999999999</v>
      </c>
      <c r="D1888" t="s">
        <v>5635</v>
      </c>
      <c r="E1888" t="s">
        <v>6599</v>
      </c>
      <c r="F1888" t="s">
        <v>7132</v>
      </c>
      <c r="G1888" t="s">
        <v>7731</v>
      </c>
      <c r="H1888" s="214">
        <v>173.47200000000001</v>
      </c>
      <c r="I1888" s="425">
        <v>5.6752799999999999</v>
      </c>
      <c r="J1888" s="91">
        <v>23.786950000000001</v>
      </c>
      <c r="K1888" s="425">
        <v>0</v>
      </c>
      <c r="L1888" s="542" t="s">
        <v>624</v>
      </c>
    </row>
    <row r="1889" spans="1:12" ht="15">
      <c r="A1889">
        <v>378174</v>
      </c>
      <c r="B1889" t="e">
        <f t="shared" si="80"/>
        <v>#N/A</v>
      </c>
      <c r="C1889" s="209" t="e">
        <f t="shared" si="81"/>
        <v>#N/A</v>
      </c>
      <c r="D1889" t="s">
        <v>5636</v>
      </c>
      <c r="E1889" t="e">
        <v>#N/A</v>
      </c>
      <c r="F1889" t="e">
        <v>#N/A</v>
      </c>
      <c r="G1889" t="e">
        <v>#N/A</v>
      </c>
      <c r="H1889" s="214">
        <v>1946.4934499999999</v>
      </c>
      <c r="I1889" s="425" t="e">
        <v>#N/A</v>
      </c>
      <c r="J1889" s="91">
        <v>334.84627</v>
      </c>
      <c r="K1889" s="425">
        <v>28329.358219999998</v>
      </c>
      <c r="L1889" s="542" t="s">
        <v>622</v>
      </c>
    </row>
    <row r="1890" spans="1:12" ht="15">
      <c r="A1890">
        <v>378316</v>
      </c>
      <c r="B1890" t="e">
        <f t="shared" si="80"/>
        <v>#N/A</v>
      </c>
      <c r="C1890" s="209" t="e">
        <f t="shared" si="81"/>
        <v>#N/A</v>
      </c>
      <c r="D1890" t="s">
        <v>5637</v>
      </c>
      <c r="E1890" t="e">
        <v>#N/A</v>
      </c>
      <c r="F1890" t="e">
        <v>#N/A</v>
      </c>
      <c r="G1890" t="e">
        <v>#N/A</v>
      </c>
      <c r="H1890" s="214">
        <v>226.35315</v>
      </c>
      <c r="I1890" s="425" t="e">
        <v>#N/A</v>
      </c>
      <c r="J1890" s="91">
        <v>42.27402</v>
      </c>
      <c r="K1890" s="425">
        <v>3408.8163100000002</v>
      </c>
      <c r="L1890" s="542" t="s">
        <v>622</v>
      </c>
    </row>
    <row r="1891" spans="1:12" ht="15">
      <c r="A1891">
        <v>378317</v>
      </c>
      <c r="B1891" t="e">
        <f t="shared" si="80"/>
        <v>#N/A</v>
      </c>
      <c r="C1891" s="209" t="e">
        <f t="shared" si="81"/>
        <v>#N/A</v>
      </c>
      <c r="D1891" t="s">
        <v>5638</v>
      </c>
      <c r="E1891" t="e">
        <v>#N/A</v>
      </c>
      <c r="F1891" t="e">
        <v>#N/A</v>
      </c>
      <c r="G1891" t="e">
        <v>#N/A</v>
      </c>
      <c r="H1891" s="214">
        <v>105.16506</v>
      </c>
      <c r="I1891" s="425" t="e">
        <v>#N/A</v>
      </c>
      <c r="J1891" s="91">
        <v>19.63974</v>
      </c>
      <c r="K1891" s="425">
        <v>1535.7621300000001</v>
      </c>
      <c r="L1891" s="542" t="s">
        <v>622</v>
      </c>
    </row>
    <row r="1892" spans="1:12" ht="15">
      <c r="A1892">
        <v>378318</v>
      </c>
      <c r="B1892" t="e">
        <f t="shared" si="80"/>
        <v>#N/A</v>
      </c>
      <c r="C1892" s="209" t="e">
        <f t="shared" si="81"/>
        <v>#N/A</v>
      </c>
      <c r="D1892" t="s">
        <v>5639</v>
      </c>
      <c r="E1892" t="e">
        <v>#N/A</v>
      </c>
      <c r="F1892" t="e">
        <v>#N/A</v>
      </c>
      <c r="G1892" t="e">
        <v>#N/A</v>
      </c>
      <c r="H1892" s="214">
        <v>520.43222000000003</v>
      </c>
      <c r="I1892" s="425" t="e">
        <v>#N/A</v>
      </c>
      <c r="J1892" s="91">
        <v>97.191569999999999</v>
      </c>
      <c r="K1892" s="425">
        <v>7600.05357</v>
      </c>
      <c r="L1892" s="542" t="s">
        <v>622</v>
      </c>
    </row>
    <row r="1893" spans="1:12" ht="15">
      <c r="A1893">
        <v>89250</v>
      </c>
      <c r="B1893" t="str">
        <f t="shared" si="80"/>
        <v>SEVROLL KOMPLET pre ROZVR. DV. ZR18</v>
      </c>
      <c r="C1893" s="209">
        <f t="shared" si="81"/>
        <v>32.251150000000003</v>
      </c>
      <c r="D1893" t="s">
        <v>5640</v>
      </c>
      <c r="E1893" t="s">
        <v>6600</v>
      </c>
      <c r="F1893" t="s">
        <v>7133</v>
      </c>
      <c r="G1893" t="s">
        <v>7732</v>
      </c>
      <c r="H1893" s="214">
        <v>928.74239999999998</v>
      </c>
      <c r="I1893" s="425">
        <v>32.251150000000003</v>
      </c>
      <c r="J1893" s="91">
        <v>109.75</v>
      </c>
      <c r="K1893" s="425">
        <v>10522.914360000001</v>
      </c>
      <c r="L1893" s="542" t="s">
        <v>622</v>
      </c>
    </row>
    <row r="1894" spans="1:12" ht="15">
      <c r="A1894">
        <v>92610</v>
      </c>
      <c r="B1894" t="e">
        <f t="shared" si="80"/>
        <v>#N/A</v>
      </c>
      <c r="C1894" s="209" t="e">
        <f t="shared" si="81"/>
        <v>#N/A</v>
      </c>
      <c r="D1894" t="s">
        <v>5641</v>
      </c>
      <c r="E1894" t="e">
        <v>#N/A</v>
      </c>
      <c r="F1894" t="e">
        <v>#N/A</v>
      </c>
      <c r="G1894" t="e">
        <v>#N/A</v>
      </c>
      <c r="H1894" s="214">
        <v>19.96246</v>
      </c>
      <c r="I1894" s="425" t="e">
        <v>#N/A</v>
      </c>
      <c r="J1894" s="91">
        <v>3.60555</v>
      </c>
      <c r="K1894" s="425">
        <v>292.43777</v>
      </c>
      <c r="L1894" s="542" t="s">
        <v>622</v>
      </c>
    </row>
    <row r="1895" spans="1:12" ht="15">
      <c r="A1895">
        <v>414707</v>
      </c>
      <c r="B1895" t="e">
        <f t="shared" ref="B1895:B1939" si="82">IF($A$2=1,D1895,IF($A$2=2,F1895,IF($A$2=3,G1895,IF($A$2=4,E1895,"zadat jazyk"))))</f>
        <v>#N/A</v>
      </c>
      <c r="C1895" s="209" t="e">
        <f t="shared" ref="C1895:C1939" si="83">IF($A$2=1,H1895,IF($A$2=2,I1895,IF($A$2=3,J1895,IF($A$2=4,K1895,"zadat jazyk"))))</f>
        <v>#N/A</v>
      </c>
      <c r="D1895" t="s">
        <v>5642</v>
      </c>
      <c r="E1895" t="e">
        <v>#N/A</v>
      </c>
      <c r="F1895" t="e">
        <v>#N/A</v>
      </c>
      <c r="G1895" t="e">
        <v>#N/A</v>
      </c>
      <c r="H1895" s="214">
        <v>1064.184</v>
      </c>
      <c r="I1895" s="425" t="e">
        <v>#N/A</v>
      </c>
      <c r="J1895" s="91">
        <v>182.22842</v>
      </c>
      <c r="K1895" s="425">
        <v>14664.60845</v>
      </c>
      <c r="L1895" s="542" t="s">
        <v>621</v>
      </c>
    </row>
    <row r="1896" spans="1:12" ht="15">
      <c r="A1896">
        <v>414708</v>
      </c>
      <c r="B1896" t="e">
        <f t="shared" si="82"/>
        <v>#N/A</v>
      </c>
      <c r="C1896" s="209" t="e">
        <f t="shared" si="83"/>
        <v>#N/A</v>
      </c>
      <c r="D1896" t="s">
        <v>5643</v>
      </c>
      <c r="E1896" t="e">
        <v>#N/A</v>
      </c>
      <c r="F1896" t="e">
        <v>#N/A</v>
      </c>
      <c r="G1896" t="e">
        <v>#N/A</v>
      </c>
      <c r="H1896" s="214">
        <v>1064.184</v>
      </c>
      <c r="I1896" s="425" t="e">
        <v>#N/A</v>
      </c>
      <c r="J1896" s="91">
        <v>182.22842</v>
      </c>
      <c r="K1896" s="425">
        <v>14664.60845</v>
      </c>
      <c r="L1896" s="542" t="s">
        <v>621</v>
      </c>
    </row>
    <row r="1897" spans="1:12" ht="15">
      <c r="A1897">
        <v>290825</v>
      </c>
      <c r="B1897" t="str">
        <f t="shared" si="82"/>
        <v>SEVROLL Elegant spodné vedenie1,7m RAL9003 mat</v>
      </c>
      <c r="C1897" s="209" t="e">
        <f t="shared" si="83"/>
        <v>#N/A</v>
      </c>
      <c r="D1897" t="s">
        <v>5644</v>
      </c>
      <c r="E1897" t="s">
        <v>6601</v>
      </c>
      <c r="F1897" t="s">
        <v>7134</v>
      </c>
      <c r="G1897" t="s">
        <v>7733</v>
      </c>
      <c r="H1897" s="214">
        <v>0</v>
      </c>
      <c r="I1897" s="425" t="e">
        <v>#N/A</v>
      </c>
      <c r="J1897" s="91">
        <v>0</v>
      </c>
      <c r="K1897" s="425">
        <v>0</v>
      </c>
      <c r="L1897" s="542" t="s">
        <v>622</v>
      </c>
    </row>
    <row r="1898" spans="1:12" ht="15">
      <c r="A1898">
        <v>290827</v>
      </c>
      <c r="B1898" t="str">
        <f t="shared" si="82"/>
        <v>SEVROLL Single horné vedenie 1,7m RAL9003 ma</v>
      </c>
      <c r="C1898" s="209" t="e">
        <f t="shared" si="83"/>
        <v>#N/A</v>
      </c>
      <c r="D1898" t="s">
        <v>5645</v>
      </c>
      <c r="E1898" t="s">
        <v>6602</v>
      </c>
      <c r="F1898" t="s">
        <v>7135</v>
      </c>
      <c r="G1898" t="s">
        <v>7734</v>
      </c>
      <c r="H1898" s="214">
        <v>0</v>
      </c>
      <c r="I1898" s="425" t="e">
        <v>#N/A</v>
      </c>
      <c r="J1898" s="91">
        <v>0</v>
      </c>
      <c r="K1898" s="425">
        <v>0</v>
      </c>
      <c r="L1898" s="542" t="s">
        <v>622</v>
      </c>
    </row>
    <row r="1899" spans="1:12" ht="15">
      <c r="A1899">
        <v>290828</v>
      </c>
      <c r="B1899" t="str">
        <f t="shared" si="82"/>
        <v>SEVROLL Smart spodné vedenie 1,7m RAL9003 ma</v>
      </c>
      <c r="C1899" s="209" t="e">
        <f t="shared" si="83"/>
        <v>#N/A</v>
      </c>
      <c r="D1899" t="s">
        <v>5646</v>
      </c>
      <c r="E1899" t="s">
        <v>6603</v>
      </c>
      <c r="F1899" t="s">
        <v>7136</v>
      </c>
      <c r="G1899" t="s">
        <v>7735</v>
      </c>
      <c r="H1899" s="214">
        <v>0</v>
      </c>
      <c r="I1899" s="425" t="e">
        <v>#N/A</v>
      </c>
      <c r="J1899" s="91">
        <v>0</v>
      </c>
      <c r="K1899" s="425">
        <v>0</v>
      </c>
      <c r="L1899" s="542" t="s">
        <v>622</v>
      </c>
    </row>
    <row r="1900" spans="1:12" ht="15">
      <c r="A1900">
        <v>291361</v>
      </c>
      <c r="B1900" t="e">
        <f t="shared" si="82"/>
        <v>#N/A</v>
      </c>
      <c r="C1900" s="209" t="e">
        <f t="shared" si="83"/>
        <v>#N/A</v>
      </c>
      <c r="D1900" t="s">
        <v>5647</v>
      </c>
      <c r="E1900" t="e">
        <v>#N/A</v>
      </c>
      <c r="F1900" t="e">
        <v>#N/A</v>
      </c>
      <c r="G1900" t="e">
        <v>#N/A</v>
      </c>
      <c r="H1900" s="214">
        <v>226.35315</v>
      </c>
      <c r="I1900" s="425" t="e">
        <v>#N/A</v>
      </c>
      <c r="J1900" s="91">
        <v>42.27402</v>
      </c>
      <c r="K1900" s="425">
        <v>3408.8163100000002</v>
      </c>
      <c r="L1900" s="542" t="s">
        <v>622</v>
      </c>
    </row>
    <row r="1901" spans="1:12" ht="15">
      <c r="A1901">
        <v>291362</v>
      </c>
      <c r="B1901" t="e">
        <f t="shared" si="82"/>
        <v>#N/A</v>
      </c>
      <c r="C1901" s="209" t="e">
        <f t="shared" si="83"/>
        <v>#N/A</v>
      </c>
      <c r="D1901" t="s">
        <v>5648</v>
      </c>
      <c r="E1901" t="e">
        <v>#N/A</v>
      </c>
      <c r="F1901" t="e">
        <v>#N/A</v>
      </c>
      <c r="G1901" t="e">
        <v>#N/A</v>
      </c>
      <c r="H1901" s="214">
        <v>226.34834000000001</v>
      </c>
      <c r="I1901" s="425" t="e">
        <v>#N/A</v>
      </c>
      <c r="J1901" s="91">
        <v>42.273119999999999</v>
      </c>
      <c r="K1901" s="425">
        <v>3408.8163100000002</v>
      </c>
      <c r="L1901" s="542" t="s">
        <v>622</v>
      </c>
    </row>
    <row r="1902" spans="1:12" ht="15">
      <c r="A1902">
        <v>291453</v>
      </c>
      <c r="B1902" t="e">
        <f t="shared" si="82"/>
        <v>#N/A</v>
      </c>
      <c r="C1902" s="209" t="e">
        <f t="shared" si="83"/>
        <v>#N/A</v>
      </c>
      <c r="D1902" t="s">
        <v>5649</v>
      </c>
      <c r="E1902" t="e">
        <v>#N/A</v>
      </c>
      <c r="F1902" t="e">
        <v>#N/A</v>
      </c>
      <c r="G1902" t="e">
        <v>#N/A</v>
      </c>
      <c r="H1902" s="214">
        <v>836.5</v>
      </c>
      <c r="I1902" s="425" t="e">
        <v>#N/A</v>
      </c>
      <c r="J1902" s="91">
        <v>188.60346999999999</v>
      </c>
      <c r="K1902" s="425">
        <v>16076.467049999999</v>
      </c>
      <c r="L1902" s="542" t="s">
        <v>622</v>
      </c>
    </row>
    <row r="1903" spans="1:12" ht="15">
      <c r="A1903">
        <v>291454</v>
      </c>
      <c r="B1903" t="e">
        <f t="shared" si="82"/>
        <v>#N/A</v>
      </c>
      <c r="C1903" s="209" t="e">
        <f t="shared" si="83"/>
        <v>#N/A</v>
      </c>
      <c r="D1903" t="s">
        <v>5650</v>
      </c>
      <c r="E1903" t="e">
        <v>#N/A</v>
      </c>
      <c r="F1903" t="e">
        <v>#N/A</v>
      </c>
      <c r="G1903" t="e">
        <v>#N/A</v>
      </c>
      <c r="H1903" s="214">
        <v>378</v>
      </c>
      <c r="I1903" s="425" t="e">
        <v>#N/A</v>
      </c>
      <c r="J1903" s="91">
        <v>85.226669999999999</v>
      </c>
      <c r="K1903" s="425">
        <v>7264.6796700000004</v>
      </c>
      <c r="L1903" s="542" t="s">
        <v>622</v>
      </c>
    </row>
    <row r="1904" spans="1:12" ht="15">
      <c r="A1904">
        <v>291471</v>
      </c>
      <c r="B1904" t="e">
        <f t="shared" si="82"/>
        <v>#N/A</v>
      </c>
      <c r="C1904" s="209" t="e">
        <f t="shared" si="83"/>
        <v>#N/A</v>
      </c>
      <c r="D1904" t="s">
        <v>5651</v>
      </c>
      <c r="E1904" t="e">
        <v>#N/A</v>
      </c>
      <c r="F1904" t="e">
        <v>#N/A</v>
      </c>
      <c r="G1904" t="e">
        <v>#N/A</v>
      </c>
      <c r="H1904" s="214">
        <v>71.75</v>
      </c>
      <c r="I1904" s="425" t="e">
        <v>#N/A</v>
      </c>
      <c r="J1904" s="91">
        <v>16.177289999999999</v>
      </c>
      <c r="K1904" s="425">
        <v>1378.9438299999999</v>
      </c>
      <c r="L1904" s="542" t="s">
        <v>622</v>
      </c>
    </row>
    <row r="1905" spans="1:12" ht="15">
      <c r="A1905">
        <v>291472</v>
      </c>
      <c r="B1905" t="e">
        <f t="shared" si="82"/>
        <v>#N/A</v>
      </c>
      <c r="C1905" s="209" t="e">
        <f t="shared" si="83"/>
        <v>#N/A</v>
      </c>
      <c r="D1905" t="s">
        <v>5652</v>
      </c>
      <c r="E1905" t="e">
        <v>#N/A</v>
      </c>
      <c r="F1905" t="e">
        <v>#N/A</v>
      </c>
      <c r="G1905" t="e">
        <v>#N/A</v>
      </c>
      <c r="H1905" s="214">
        <v>157.15</v>
      </c>
      <c r="I1905" s="425" t="e">
        <v>#N/A</v>
      </c>
      <c r="J1905" s="91">
        <v>35.432200000000002</v>
      </c>
      <c r="K1905" s="425">
        <v>3020.2231900000002</v>
      </c>
      <c r="L1905" s="542" t="s">
        <v>622</v>
      </c>
    </row>
    <row r="1906" spans="1:12" ht="15">
      <c r="A1906">
        <v>303699</v>
      </c>
      <c r="B1906" t="str">
        <f t="shared" si="82"/>
        <v>SEVROLL Libra lišta 18mm 2,70m RAL9003 mat</v>
      </c>
      <c r="C1906" s="209" t="e">
        <f t="shared" si="83"/>
        <v>#N/A</v>
      </c>
      <c r="D1906" t="s">
        <v>5653</v>
      </c>
      <c r="E1906" t="s">
        <v>6604</v>
      </c>
      <c r="F1906" t="s">
        <v>5653</v>
      </c>
      <c r="G1906" t="s">
        <v>7736</v>
      </c>
      <c r="H1906" s="214">
        <v>0</v>
      </c>
      <c r="I1906" s="425" t="e">
        <v>#N/A</v>
      </c>
      <c r="J1906" s="91">
        <v>56.570219999999999</v>
      </c>
      <c r="K1906" s="425">
        <v>0</v>
      </c>
      <c r="L1906" s="542" t="s">
        <v>622</v>
      </c>
    </row>
    <row r="1907" spans="1:12" ht="15">
      <c r="A1907">
        <v>303700</v>
      </c>
      <c r="B1907" t="str">
        <f t="shared" si="82"/>
        <v>SEVROLL uholník 17*11mm 3m RAL9010 mat</v>
      </c>
      <c r="C1907" s="209" t="e">
        <f t="shared" si="83"/>
        <v>#N/A</v>
      </c>
      <c r="D1907" t="s">
        <v>5654</v>
      </c>
      <c r="E1907" t="s">
        <v>6605</v>
      </c>
      <c r="F1907" t="s">
        <v>7137</v>
      </c>
      <c r="G1907" t="s">
        <v>7737</v>
      </c>
      <c r="H1907" s="214">
        <v>0</v>
      </c>
      <c r="I1907" s="425" t="e">
        <v>#N/A</v>
      </c>
      <c r="J1907" s="91">
        <v>0</v>
      </c>
      <c r="K1907" s="425">
        <v>0</v>
      </c>
      <c r="L1907" s="542" t="s">
        <v>622</v>
      </c>
    </row>
    <row r="1908" spans="1:12" ht="15">
      <c r="A1908">
        <v>303703</v>
      </c>
      <c r="B1908" t="str">
        <f t="shared" si="82"/>
        <v>SEVROLL uholník 17*11mm 2,35m RAL9003 mat</v>
      </c>
      <c r="C1908" s="209" t="e">
        <f t="shared" si="83"/>
        <v>#N/A</v>
      </c>
      <c r="D1908" t="s">
        <v>5655</v>
      </c>
      <c r="E1908" t="s">
        <v>6606</v>
      </c>
      <c r="F1908" t="s">
        <v>7138</v>
      </c>
      <c r="G1908" t="s">
        <v>7738</v>
      </c>
      <c r="H1908" s="214">
        <v>0</v>
      </c>
      <c r="I1908" s="425" t="e">
        <v>#N/A</v>
      </c>
      <c r="J1908" s="91">
        <v>0</v>
      </c>
      <c r="K1908" s="425">
        <v>0</v>
      </c>
      <c r="L1908" s="542" t="s">
        <v>622</v>
      </c>
    </row>
    <row r="1909" spans="1:12" ht="15">
      <c r="A1909">
        <v>303706</v>
      </c>
      <c r="B1909" t="str">
        <f t="shared" si="82"/>
        <v>SEVROLL Alfa II lišta 18mm 2,70m RAL9010 mat</v>
      </c>
      <c r="C1909" s="209" t="e">
        <f t="shared" si="83"/>
        <v>#N/A</v>
      </c>
      <c r="D1909" t="s">
        <v>5656</v>
      </c>
      <c r="E1909" t="s">
        <v>6607</v>
      </c>
      <c r="F1909" t="s">
        <v>5656</v>
      </c>
      <c r="G1909" t="s">
        <v>7739</v>
      </c>
      <c r="H1909" s="214">
        <v>0</v>
      </c>
      <c r="I1909" s="425" t="e">
        <v>#N/A</v>
      </c>
      <c r="J1909" s="91">
        <v>0</v>
      </c>
      <c r="K1909" s="425">
        <v>0</v>
      </c>
      <c r="L1909" s="542" t="s">
        <v>622</v>
      </c>
    </row>
    <row r="1910" spans="1:12" ht="15">
      <c r="A1910">
        <v>303709</v>
      </c>
      <c r="B1910" t="str">
        <f t="shared" si="82"/>
        <v>SEVROLL Single horné vedenie 3m RAL9003 mat</v>
      </c>
      <c r="C1910" s="209" t="e">
        <f t="shared" si="83"/>
        <v>#N/A</v>
      </c>
      <c r="D1910" t="s">
        <v>5657</v>
      </c>
      <c r="E1910" t="s">
        <v>6608</v>
      </c>
      <c r="F1910" t="s">
        <v>7139</v>
      </c>
      <c r="G1910" t="s">
        <v>7740</v>
      </c>
      <c r="H1910" s="214">
        <v>0</v>
      </c>
      <c r="I1910" s="425" t="e">
        <v>#N/A</v>
      </c>
      <c r="J1910" s="91">
        <v>0</v>
      </c>
      <c r="K1910" s="425">
        <v>0</v>
      </c>
      <c r="L1910" s="542" t="s">
        <v>622</v>
      </c>
    </row>
    <row r="1911" spans="1:12" ht="15">
      <c r="A1911">
        <v>303710</v>
      </c>
      <c r="B1911" t="str">
        <f t="shared" si="82"/>
        <v>SEVROLL Smart spodné vedenie 3m RAL9003 mat</v>
      </c>
      <c r="C1911" s="209" t="e">
        <f t="shared" si="83"/>
        <v>#N/A</v>
      </c>
      <c r="D1911" t="s">
        <v>5658</v>
      </c>
      <c r="E1911" t="s">
        <v>6609</v>
      </c>
      <c r="F1911" t="s">
        <v>7140</v>
      </c>
      <c r="G1911" t="s">
        <v>7741</v>
      </c>
      <c r="H1911" s="214">
        <v>0</v>
      </c>
      <c r="I1911" s="425" t="e">
        <v>#N/A</v>
      </c>
      <c r="J1911" s="91">
        <v>0</v>
      </c>
      <c r="K1911" s="425">
        <v>0</v>
      </c>
      <c r="L1911" s="542" t="s">
        <v>622</v>
      </c>
    </row>
    <row r="1912" spans="1:12" ht="15">
      <c r="A1912">
        <v>303718</v>
      </c>
      <c r="B1912" t="str">
        <f t="shared" si="82"/>
        <v>SEVROLL vodiaca lišta Simple/Blue 3m (pre lamino 18mm) RAL9003mat</v>
      </c>
      <c r="C1912" s="209" t="e">
        <f t="shared" si="83"/>
        <v>#N/A</v>
      </c>
      <c r="D1912" t="s">
        <v>5659</v>
      </c>
      <c r="E1912" t="s">
        <v>6610</v>
      </c>
      <c r="F1912" t="s">
        <v>7141</v>
      </c>
      <c r="G1912" t="s">
        <v>7742</v>
      </c>
      <c r="H1912" s="214">
        <v>0</v>
      </c>
      <c r="I1912" s="425" t="e">
        <v>#N/A</v>
      </c>
      <c r="J1912" s="91">
        <v>93.76943</v>
      </c>
      <c r="K1912" s="425">
        <v>0</v>
      </c>
      <c r="L1912" s="542" t="s">
        <v>622</v>
      </c>
    </row>
    <row r="1913" spans="1:12" ht="15">
      <c r="A1913">
        <v>303719</v>
      </c>
      <c r="B1913" t="str">
        <f t="shared" si="82"/>
        <v>SEVROLL kry.lišta Simple/Blue 3m (pre lamino 18mm) RAL9003 mat</v>
      </c>
      <c r="C1913" s="209" t="e">
        <f t="shared" si="83"/>
        <v>#N/A</v>
      </c>
      <c r="D1913" t="s">
        <v>5660</v>
      </c>
      <c r="E1913" t="s">
        <v>6611</v>
      </c>
      <c r="F1913" t="s">
        <v>7142</v>
      </c>
      <c r="G1913" t="s">
        <v>7743</v>
      </c>
      <c r="H1913" s="214">
        <v>0</v>
      </c>
      <c r="I1913" s="425" t="e">
        <v>#N/A</v>
      </c>
      <c r="J1913" s="91">
        <v>148.28254000000001</v>
      </c>
      <c r="K1913" s="425">
        <v>0</v>
      </c>
      <c r="L1913" s="542" t="s">
        <v>622</v>
      </c>
    </row>
    <row r="1914" spans="1:12" ht="15">
      <c r="A1914">
        <v>303720</v>
      </c>
      <c r="B1914" t="str">
        <f t="shared" si="82"/>
        <v>SEVROLL Simple horné vedenie 3m RAL9003 mat</v>
      </c>
      <c r="C1914" s="209" t="e">
        <f t="shared" si="83"/>
        <v>#N/A</v>
      </c>
      <c r="D1914" t="s">
        <v>5661</v>
      </c>
      <c r="E1914" t="s">
        <v>6612</v>
      </c>
      <c r="F1914" t="s">
        <v>7143</v>
      </c>
      <c r="G1914" t="s">
        <v>7744</v>
      </c>
      <c r="H1914" s="214">
        <v>0</v>
      </c>
      <c r="I1914" s="425" t="e">
        <v>#N/A</v>
      </c>
      <c r="J1914" s="91">
        <v>106.9177</v>
      </c>
      <c r="K1914" s="425">
        <v>0</v>
      </c>
      <c r="L1914" s="542" t="s">
        <v>622</v>
      </c>
    </row>
    <row r="1915" spans="1:12" ht="15">
      <c r="A1915">
        <v>303721</v>
      </c>
      <c r="B1915" t="str">
        <f t="shared" si="82"/>
        <v>SEVROLL Simple spodné vedenie 3m RAL9003 mat</v>
      </c>
      <c r="C1915" s="209" t="e">
        <f t="shared" si="83"/>
        <v>#N/A</v>
      </c>
      <c r="D1915" t="s">
        <v>5662</v>
      </c>
      <c r="E1915" t="s">
        <v>6613</v>
      </c>
      <c r="F1915" t="s">
        <v>7144</v>
      </c>
      <c r="G1915" t="s">
        <v>7745</v>
      </c>
      <c r="H1915" s="214">
        <v>0</v>
      </c>
      <c r="I1915" s="425" t="e">
        <v>#N/A</v>
      </c>
      <c r="J1915" s="91">
        <v>57.513060000000003</v>
      </c>
      <c r="K1915" s="425">
        <v>0</v>
      </c>
      <c r="L1915" s="542" t="s">
        <v>622</v>
      </c>
    </row>
    <row r="1916" spans="1:12" ht="15">
      <c r="A1916">
        <v>303856</v>
      </c>
      <c r="B1916" t="e">
        <f t="shared" si="82"/>
        <v>#N/A</v>
      </c>
      <c r="C1916" s="209" t="e">
        <f t="shared" si="83"/>
        <v>#N/A</v>
      </c>
      <c r="D1916" t="s">
        <v>5663</v>
      </c>
      <c r="E1916" t="e">
        <v>#N/A</v>
      </c>
      <c r="F1916" t="e">
        <v>#N/A</v>
      </c>
      <c r="G1916" t="e">
        <v>#N/A</v>
      </c>
      <c r="H1916" s="214">
        <v>496.48500000000001</v>
      </c>
      <c r="I1916" s="425" t="e">
        <v>#N/A</v>
      </c>
      <c r="J1916" s="91">
        <v>111.04297</v>
      </c>
      <c r="K1916" s="425">
        <v>8607.0184800000006</v>
      </c>
      <c r="L1916" s="542" t="s">
        <v>622</v>
      </c>
    </row>
    <row r="1917" spans="1:12" ht="15">
      <c r="A1917">
        <v>304028</v>
      </c>
      <c r="B1917" t="e">
        <f t="shared" si="82"/>
        <v>#N/A</v>
      </c>
      <c r="C1917" s="209" t="e">
        <f t="shared" si="83"/>
        <v>#N/A</v>
      </c>
      <c r="D1917" t="s">
        <v>5664</v>
      </c>
      <c r="E1917" t="e">
        <v>#N/A</v>
      </c>
      <c r="F1917" t="e">
        <v>#N/A</v>
      </c>
      <c r="G1917" t="e">
        <v>#N/A</v>
      </c>
      <c r="H1917" s="214">
        <v>11.375</v>
      </c>
      <c r="I1917" s="425" t="e">
        <v>#N/A</v>
      </c>
      <c r="J1917" s="91">
        <v>2.5647000000000002</v>
      </c>
      <c r="K1917" s="425">
        <v>218.61319</v>
      </c>
      <c r="L1917" s="542" t="s">
        <v>622</v>
      </c>
    </row>
    <row r="1918" spans="1:12" ht="15">
      <c r="A1918">
        <v>342177</v>
      </c>
      <c r="B1918" t="str">
        <f t="shared" si="82"/>
        <v/>
      </c>
      <c r="C1918" s="209">
        <f t="shared" si="83"/>
        <v>1.90422</v>
      </c>
      <c r="D1918" t="s">
        <v>5665</v>
      </c>
      <c r="E1918" t="s">
        <v>6614</v>
      </c>
      <c r="F1918" t="s">
        <v>84</v>
      </c>
      <c r="G1918" t="s">
        <v>7746</v>
      </c>
      <c r="H1918" s="214">
        <v>54.79936</v>
      </c>
      <c r="I1918" s="425">
        <v>1.90422</v>
      </c>
      <c r="J1918" s="91">
        <v>6.58</v>
      </c>
      <c r="K1918" s="425">
        <v>620.89225999999996</v>
      </c>
      <c r="L1918" s="542" t="s">
        <v>622</v>
      </c>
    </row>
    <row r="1919" spans="1:12" ht="15">
      <c r="A1919">
        <v>342360</v>
      </c>
      <c r="B1919" t="str">
        <f t="shared" si="82"/>
        <v>SEVROLL vzorky Brno</v>
      </c>
      <c r="C1919" s="209" t="e">
        <f t="shared" si="83"/>
        <v>#N/A</v>
      </c>
      <c r="D1919" t="s">
        <v>5666</v>
      </c>
      <c r="E1919" t="s">
        <v>6615</v>
      </c>
      <c r="F1919" t="s">
        <v>5666</v>
      </c>
      <c r="G1919" t="s">
        <v>7747</v>
      </c>
      <c r="H1919" s="214">
        <v>11131.548119999999</v>
      </c>
      <c r="I1919" s="425" t="e">
        <v>#N/A</v>
      </c>
      <c r="J1919" s="91">
        <v>1013.83566</v>
      </c>
      <c r="K1919" s="425">
        <v>81937.379889999997</v>
      </c>
      <c r="L1919" s="542" t="s">
        <v>622</v>
      </c>
    </row>
    <row r="1920" spans="1:12" ht="15">
      <c r="A1920">
        <v>342428</v>
      </c>
      <c r="B1920" t="str">
        <f t="shared" si="82"/>
        <v/>
      </c>
      <c r="C1920" s="209">
        <f t="shared" si="83"/>
        <v>2.2679999999999999E-2</v>
      </c>
      <c r="D1920" t="s">
        <v>5667</v>
      </c>
      <c r="E1920" t="s">
        <v>84</v>
      </c>
      <c r="F1920" t="s">
        <v>84</v>
      </c>
      <c r="G1920" t="s">
        <v>84</v>
      </c>
      <c r="H1920" s="214">
        <v>0</v>
      </c>
      <c r="I1920" s="425">
        <v>2.2679999999999999E-2</v>
      </c>
      <c r="J1920" s="91">
        <v>0</v>
      </c>
      <c r="K1920" s="425">
        <v>0</v>
      </c>
      <c r="L1920" s="542" t="s">
        <v>624</v>
      </c>
    </row>
    <row r="1921" spans="1:12" ht="15">
      <c r="A1921">
        <v>375992</v>
      </c>
      <c r="B1921" t="e">
        <f t="shared" si="82"/>
        <v>#N/A</v>
      </c>
      <c r="C1921" s="209" t="e">
        <f t="shared" si="83"/>
        <v>#N/A</v>
      </c>
      <c r="D1921" t="s">
        <v>5668</v>
      </c>
      <c r="E1921" t="e">
        <v>#N/A</v>
      </c>
      <c r="F1921" t="e">
        <v>#N/A</v>
      </c>
      <c r="G1921" t="e">
        <v>#N/A</v>
      </c>
      <c r="H1921" s="214">
        <v>513</v>
      </c>
      <c r="I1921" s="425" t="e">
        <v>#N/A</v>
      </c>
      <c r="J1921" s="91">
        <v>87.844939999999994</v>
      </c>
      <c r="K1921" s="425">
        <v>6426.5579100000004</v>
      </c>
      <c r="L1921" s="542" t="s">
        <v>622</v>
      </c>
    </row>
    <row r="1922" spans="1:12" ht="15">
      <c r="A1922">
        <v>375993</v>
      </c>
      <c r="B1922" t="e">
        <f t="shared" si="82"/>
        <v>#N/A</v>
      </c>
      <c r="C1922" s="209" t="e">
        <f t="shared" si="83"/>
        <v>#N/A</v>
      </c>
      <c r="D1922" t="s">
        <v>5669</v>
      </c>
      <c r="E1922" t="e">
        <v>#N/A</v>
      </c>
      <c r="F1922" t="e">
        <v>#N/A</v>
      </c>
      <c r="G1922" t="e">
        <v>#N/A</v>
      </c>
      <c r="H1922" s="214">
        <v>513</v>
      </c>
      <c r="I1922" s="425" t="e">
        <v>#N/A</v>
      </c>
      <c r="J1922" s="91">
        <v>87.844939999999994</v>
      </c>
      <c r="K1922" s="425">
        <v>6426.5579100000004</v>
      </c>
      <c r="L1922" s="542" t="s">
        <v>622</v>
      </c>
    </row>
    <row r="1923" spans="1:12" ht="15">
      <c r="A1923">
        <v>376054</v>
      </c>
      <c r="B1923" t="str">
        <f t="shared" si="82"/>
        <v/>
      </c>
      <c r="C1923" s="209">
        <f t="shared" si="83"/>
        <v>24.1281</v>
      </c>
      <c r="D1923" t="s">
        <v>5670</v>
      </c>
      <c r="E1923" t="s">
        <v>6616</v>
      </c>
      <c r="F1923" t="s">
        <v>84</v>
      </c>
      <c r="G1923" t="s">
        <v>84</v>
      </c>
      <c r="H1923" s="214">
        <v>700.02624000000003</v>
      </c>
      <c r="I1923" s="425">
        <v>24.1281</v>
      </c>
      <c r="J1923" s="91">
        <v>80.62</v>
      </c>
      <c r="K1923" s="425">
        <v>7870.0110500000001</v>
      </c>
      <c r="L1923" s="542" t="s">
        <v>622</v>
      </c>
    </row>
    <row r="1924" spans="1:12" ht="15">
      <c r="A1924">
        <v>376055</v>
      </c>
      <c r="B1924" t="str">
        <f t="shared" si="82"/>
        <v/>
      </c>
      <c r="C1924" s="209">
        <f t="shared" si="83"/>
        <v>25.815380000000001</v>
      </c>
      <c r="D1924" t="s">
        <v>5671</v>
      </c>
      <c r="E1924" t="s">
        <v>6617</v>
      </c>
      <c r="F1924" t="s">
        <v>84</v>
      </c>
      <c r="G1924" t="s">
        <v>84</v>
      </c>
      <c r="H1924" s="214">
        <v>749.51580000000001</v>
      </c>
      <c r="I1924" s="425">
        <v>25.815380000000001</v>
      </c>
      <c r="J1924" s="91">
        <v>86.32</v>
      </c>
      <c r="K1924" s="425">
        <v>8426.3950299999997</v>
      </c>
      <c r="L1924" s="542" t="s">
        <v>622</v>
      </c>
    </row>
    <row r="1925" spans="1:12" ht="15">
      <c r="A1925">
        <v>376056</v>
      </c>
      <c r="B1925" t="str">
        <f t="shared" si="82"/>
        <v/>
      </c>
      <c r="C1925" s="209">
        <f t="shared" si="83"/>
        <v>14.60702</v>
      </c>
      <c r="D1925" t="s">
        <v>5672</v>
      </c>
      <c r="E1925" t="s">
        <v>6618</v>
      </c>
      <c r="F1925" t="s">
        <v>84</v>
      </c>
      <c r="G1925" t="s">
        <v>84</v>
      </c>
      <c r="H1925" s="214">
        <v>423.88884000000002</v>
      </c>
      <c r="I1925" s="425">
        <v>14.60702</v>
      </c>
      <c r="J1925" s="91">
        <v>51.63</v>
      </c>
      <c r="K1925" s="425">
        <v>4765.54972</v>
      </c>
      <c r="L1925" s="542" t="s">
        <v>622</v>
      </c>
    </row>
    <row r="1926" spans="1:12" ht="15">
      <c r="A1926">
        <v>376057</v>
      </c>
      <c r="B1926" t="str">
        <f t="shared" si="82"/>
        <v/>
      </c>
      <c r="C1926" s="209">
        <f t="shared" si="83"/>
        <v>14.60702</v>
      </c>
      <c r="D1926" t="s">
        <v>5673</v>
      </c>
      <c r="E1926" t="s">
        <v>6619</v>
      </c>
      <c r="F1926" t="s">
        <v>84</v>
      </c>
      <c r="G1926" t="s">
        <v>84</v>
      </c>
      <c r="H1926" s="214">
        <v>423.88884000000002</v>
      </c>
      <c r="I1926" s="425">
        <v>14.60702</v>
      </c>
      <c r="J1926" s="91">
        <v>51.63</v>
      </c>
      <c r="K1926" s="425">
        <v>4765.54972</v>
      </c>
      <c r="L1926" s="542" t="s">
        <v>622</v>
      </c>
    </row>
    <row r="1927" spans="1:12" ht="15">
      <c r="A1927">
        <v>376058</v>
      </c>
      <c r="B1927" t="str">
        <f t="shared" si="82"/>
        <v/>
      </c>
      <c r="C1927" s="209">
        <f t="shared" si="83"/>
        <v>20.994579999999999</v>
      </c>
      <c r="D1927" t="s">
        <v>5674</v>
      </c>
      <c r="E1927" t="s">
        <v>6620</v>
      </c>
      <c r="F1927" t="s">
        <v>84</v>
      </c>
      <c r="G1927" t="s">
        <v>84</v>
      </c>
      <c r="H1927" s="214">
        <v>608.93676000000005</v>
      </c>
      <c r="I1927" s="425">
        <v>20.994579999999999</v>
      </c>
      <c r="J1927" s="91">
        <v>70.13</v>
      </c>
      <c r="K1927" s="425">
        <v>6845.942</v>
      </c>
      <c r="L1927" s="542" t="s">
        <v>622</v>
      </c>
    </row>
    <row r="1928" spans="1:12" ht="15">
      <c r="A1928">
        <v>376059</v>
      </c>
      <c r="B1928" t="str">
        <f t="shared" si="82"/>
        <v>SEVROLL Držiak horného vedenia Herakles</v>
      </c>
      <c r="C1928" s="209">
        <f t="shared" si="83"/>
        <v>1.8801099999999999</v>
      </c>
      <c r="D1928" t="s">
        <v>5675</v>
      </c>
      <c r="E1928" t="s">
        <v>6621</v>
      </c>
      <c r="F1928" t="s">
        <v>7145</v>
      </c>
      <c r="G1928" t="s">
        <v>84</v>
      </c>
      <c r="H1928" s="214">
        <v>53.792999999999999</v>
      </c>
      <c r="I1928" s="425">
        <v>1.8801099999999999</v>
      </c>
      <c r="J1928" s="91">
        <v>6.2</v>
      </c>
      <c r="K1928" s="425">
        <v>604.76520000000005</v>
      </c>
      <c r="L1928" s="542" t="s">
        <v>622</v>
      </c>
    </row>
    <row r="1929" spans="1:12" ht="15">
      <c r="A1929">
        <v>122571</v>
      </c>
      <c r="B1929" t="e">
        <f t="shared" si="82"/>
        <v>#N/A</v>
      </c>
      <c r="C1929" s="209" t="e">
        <f t="shared" si="83"/>
        <v>#N/A</v>
      </c>
      <c r="D1929" t="s">
        <v>5676</v>
      </c>
      <c r="E1929" t="e">
        <v>#N/A</v>
      </c>
      <c r="F1929" t="e">
        <v>#N/A</v>
      </c>
      <c r="G1929" t="e">
        <v>#N/A</v>
      </c>
      <c r="H1929" s="214">
        <v>91.559790000000007</v>
      </c>
      <c r="I1929" s="425" t="e">
        <v>#N/A</v>
      </c>
      <c r="J1929" s="91">
        <v>18.81683</v>
      </c>
      <c r="K1929" s="425">
        <v>1517.4269300000001</v>
      </c>
      <c r="L1929" s="542" t="s">
        <v>620</v>
      </c>
    </row>
    <row r="1930" spans="1:12" ht="15">
      <c r="A1930">
        <v>122572</v>
      </c>
      <c r="B1930" t="e">
        <f t="shared" si="82"/>
        <v>#N/A</v>
      </c>
      <c r="C1930" s="209" t="e">
        <f t="shared" si="83"/>
        <v>#N/A</v>
      </c>
      <c r="D1930" t="s">
        <v>5677</v>
      </c>
      <c r="E1930" t="e">
        <v>#N/A</v>
      </c>
      <c r="F1930" t="e">
        <v>#N/A</v>
      </c>
      <c r="G1930" t="e">
        <v>#N/A</v>
      </c>
      <c r="H1930" s="214">
        <v>75.328019999999995</v>
      </c>
      <c r="I1930" s="425" t="e">
        <v>#N/A</v>
      </c>
      <c r="J1930" s="91">
        <v>15.48096</v>
      </c>
      <c r="K1930" s="425">
        <v>1248.4166499999999</v>
      </c>
      <c r="L1930" s="542" t="s">
        <v>620</v>
      </c>
    </row>
    <row r="1931" spans="1:12" ht="15">
      <c r="A1931">
        <v>128322</v>
      </c>
      <c r="B1931" t="str">
        <f t="shared" si="82"/>
        <v>SEVROLL SADA KOVANIA ZSE-10</v>
      </c>
      <c r="C1931" s="209">
        <f t="shared" si="83"/>
        <v>54.041170000000001</v>
      </c>
      <c r="D1931" t="s">
        <v>5678</v>
      </c>
      <c r="E1931" t="s">
        <v>6622</v>
      </c>
      <c r="F1931" t="s">
        <v>7146</v>
      </c>
      <c r="G1931" t="s">
        <v>7748</v>
      </c>
      <c r="H1931" s="214">
        <v>1555.7324799999999</v>
      </c>
      <c r="I1931" s="425">
        <v>54.041170000000001</v>
      </c>
      <c r="J1931" s="91">
        <v>183.85</v>
      </c>
      <c r="K1931" s="425">
        <v>17626.889510000001</v>
      </c>
      <c r="L1931" s="542" t="s">
        <v>622</v>
      </c>
    </row>
    <row r="1932" spans="1:12" ht="15">
      <c r="A1932">
        <v>130896</v>
      </c>
      <c r="B1932" t="e">
        <f t="shared" si="82"/>
        <v>#N/A</v>
      </c>
      <c r="C1932" s="209" t="e">
        <f t="shared" si="83"/>
        <v>#N/A</v>
      </c>
      <c r="D1932" t="s">
        <v>5679</v>
      </c>
      <c r="E1932" t="e">
        <v>#N/A</v>
      </c>
      <c r="F1932" t="e">
        <v>#N/A</v>
      </c>
      <c r="G1932" t="e">
        <v>#N/A</v>
      </c>
      <c r="H1932" s="214">
        <v>121.33799999999999</v>
      </c>
      <c r="I1932" s="425" t="e">
        <v>#N/A</v>
      </c>
      <c r="J1932" s="91">
        <v>22.661239999999999</v>
      </c>
      <c r="K1932" s="425">
        <v>1772.0332100000001</v>
      </c>
      <c r="L1932" s="542" t="s">
        <v>622</v>
      </c>
    </row>
    <row r="1933" spans="1:12" ht="15">
      <c r="A1933">
        <v>130897</v>
      </c>
      <c r="B1933" t="e">
        <f t="shared" si="82"/>
        <v>#N/A</v>
      </c>
      <c r="C1933" s="209" t="e">
        <f t="shared" si="83"/>
        <v>#N/A</v>
      </c>
      <c r="D1933" t="s">
        <v>5680</v>
      </c>
      <c r="E1933" t="e">
        <v>#N/A</v>
      </c>
      <c r="F1933" t="e">
        <v>#N/A</v>
      </c>
      <c r="G1933" t="e">
        <v>#N/A</v>
      </c>
      <c r="H1933" s="214">
        <v>182.00700000000001</v>
      </c>
      <c r="I1933" s="425" t="e">
        <v>#N/A</v>
      </c>
      <c r="J1933" s="91">
        <v>33.991860000000003</v>
      </c>
      <c r="K1933" s="425">
        <v>2658.0498200000002</v>
      </c>
      <c r="L1933" s="542" t="s">
        <v>622</v>
      </c>
    </row>
    <row r="1934" spans="1:12" ht="15">
      <c r="A1934">
        <v>130898</v>
      </c>
      <c r="B1934" t="e">
        <f t="shared" si="82"/>
        <v>#N/A</v>
      </c>
      <c r="C1934" s="209" t="e">
        <f t="shared" si="83"/>
        <v>#N/A</v>
      </c>
      <c r="D1934" t="s">
        <v>5681</v>
      </c>
      <c r="E1934" t="e">
        <v>#N/A</v>
      </c>
      <c r="F1934" t="e">
        <v>#N/A</v>
      </c>
      <c r="G1934" t="e">
        <v>#N/A</v>
      </c>
      <c r="H1934" s="214">
        <v>121.33799999999999</v>
      </c>
      <c r="I1934" s="425" t="e">
        <v>#N/A</v>
      </c>
      <c r="J1934" s="91">
        <v>22.661239999999999</v>
      </c>
      <c r="K1934" s="425">
        <v>1772.0332100000001</v>
      </c>
      <c r="L1934" s="542" t="s">
        <v>622</v>
      </c>
    </row>
    <row r="1935" spans="1:12" ht="15">
      <c r="A1935">
        <v>303056</v>
      </c>
      <c r="B1935" t="str">
        <f t="shared" si="82"/>
        <v/>
      </c>
      <c r="C1935" s="209" t="e">
        <f t="shared" si="83"/>
        <v>#N/A</v>
      </c>
      <c r="D1935" t="s">
        <v>5682</v>
      </c>
      <c r="E1935" t="s">
        <v>6623</v>
      </c>
      <c r="F1935" t="s">
        <v>84</v>
      </c>
      <c r="G1935" t="s">
        <v>7749</v>
      </c>
      <c r="H1935" s="214">
        <v>0</v>
      </c>
      <c r="I1935" s="425" t="e">
        <v>#N/A</v>
      </c>
      <c r="J1935" s="91">
        <v>0</v>
      </c>
      <c r="K1935" s="425">
        <v>0</v>
      </c>
      <c r="L1935" s="542" t="s">
        <v>624</v>
      </c>
    </row>
    <row r="1936" spans="1:12" ht="15">
      <c r="A1936">
        <v>303057</v>
      </c>
      <c r="B1936" t="str">
        <f t="shared" si="82"/>
        <v/>
      </c>
      <c r="C1936" s="209" t="e">
        <f t="shared" si="83"/>
        <v>#N/A</v>
      </c>
      <c r="D1936" t="s">
        <v>5683</v>
      </c>
      <c r="E1936" t="s">
        <v>6624</v>
      </c>
      <c r="F1936" t="s">
        <v>84</v>
      </c>
      <c r="G1936" t="s">
        <v>7750</v>
      </c>
      <c r="H1936" s="214">
        <v>0</v>
      </c>
      <c r="I1936" s="425" t="e">
        <v>#N/A</v>
      </c>
      <c r="J1936" s="91">
        <v>0</v>
      </c>
      <c r="K1936" s="425">
        <v>0</v>
      </c>
      <c r="L1936" s="542" t="s">
        <v>624</v>
      </c>
    </row>
    <row r="1937" spans="1:12" ht="15">
      <c r="A1937">
        <v>303058</v>
      </c>
      <c r="B1937" t="str">
        <f t="shared" si="82"/>
        <v/>
      </c>
      <c r="C1937" s="209" t="e">
        <f t="shared" si="83"/>
        <v>#N/A</v>
      </c>
      <c r="D1937" t="s">
        <v>5684</v>
      </c>
      <c r="E1937" t="s">
        <v>6625</v>
      </c>
      <c r="F1937" t="s">
        <v>84</v>
      </c>
      <c r="G1937" t="s">
        <v>7751</v>
      </c>
      <c r="H1937" s="214">
        <v>0</v>
      </c>
      <c r="I1937" s="425" t="e">
        <v>#N/A</v>
      </c>
      <c r="J1937" s="91">
        <v>0</v>
      </c>
      <c r="K1937" s="425">
        <v>0</v>
      </c>
      <c r="L1937" s="542" t="s">
        <v>624</v>
      </c>
    </row>
    <row r="1938" spans="1:12" ht="15">
      <c r="A1938">
        <v>303059</v>
      </c>
      <c r="B1938" t="str">
        <f t="shared" si="82"/>
        <v/>
      </c>
      <c r="C1938" s="209" t="e">
        <f t="shared" si="83"/>
        <v>#N/A</v>
      </c>
      <c r="D1938" t="s">
        <v>5685</v>
      </c>
      <c r="E1938" t="s">
        <v>6626</v>
      </c>
      <c r="F1938" t="s">
        <v>84</v>
      </c>
      <c r="G1938" t="s">
        <v>7752</v>
      </c>
      <c r="H1938" s="214">
        <v>0</v>
      </c>
      <c r="I1938" s="425" t="e">
        <v>#N/A</v>
      </c>
      <c r="J1938" s="91">
        <v>0</v>
      </c>
      <c r="K1938" s="425">
        <v>0</v>
      </c>
      <c r="L1938" s="542" t="s">
        <v>624</v>
      </c>
    </row>
    <row r="1939" spans="1:12" ht="15">
      <c r="A1939">
        <v>303060</v>
      </c>
      <c r="B1939" t="str">
        <f t="shared" si="82"/>
        <v/>
      </c>
      <c r="C1939" s="209" t="e">
        <f t="shared" si="83"/>
        <v>#N/A</v>
      </c>
      <c r="D1939" t="s">
        <v>5686</v>
      </c>
      <c r="E1939" t="s">
        <v>6627</v>
      </c>
      <c r="F1939" t="s">
        <v>84</v>
      </c>
      <c r="G1939" t="s">
        <v>7753</v>
      </c>
      <c r="H1939" s="214">
        <v>0</v>
      </c>
      <c r="I1939" s="425" t="e">
        <v>#N/A</v>
      </c>
      <c r="J1939" s="91">
        <v>0</v>
      </c>
      <c r="K1939" s="425">
        <v>0</v>
      </c>
      <c r="L1939" s="542" t="s">
        <v>624</v>
      </c>
    </row>
    <row r="1940" spans="1:12" ht="15">
      <c r="A1940">
        <v>303061</v>
      </c>
      <c r="B1940" t="str">
        <f t="shared" ref="B1940:B1989" si="84">IF($A$2=1,D1940,IF($A$2=2,F1940,IF($A$2=3,G1940,IF($A$2=4,E1940,"zadat jazyk"))))</f>
        <v/>
      </c>
      <c r="C1940" s="209" t="e">
        <f t="shared" ref="C1940:C1989" si="85">IF($A$2=1,H1940,IF($A$2=2,I1940,IF($A$2=3,J1940,IF($A$2=4,K1940,"zadat jazyk"))))</f>
        <v>#N/A</v>
      </c>
      <c r="D1940" t="s">
        <v>5687</v>
      </c>
      <c r="E1940" t="s">
        <v>6628</v>
      </c>
      <c r="F1940" t="s">
        <v>84</v>
      </c>
      <c r="G1940" t="s">
        <v>7754</v>
      </c>
      <c r="H1940" s="214">
        <v>0</v>
      </c>
      <c r="I1940" s="425" t="e">
        <v>#N/A</v>
      </c>
      <c r="J1940" s="91">
        <v>0</v>
      </c>
      <c r="K1940" s="425">
        <v>0</v>
      </c>
      <c r="L1940" s="542" t="s">
        <v>624</v>
      </c>
    </row>
    <row r="1941" spans="1:12" ht="15">
      <c r="A1941">
        <v>303360</v>
      </c>
      <c r="B1941" t="e">
        <f t="shared" si="84"/>
        <v>#N/A</v>
      </c>
      <c r="C1941" s="209" t="e">
        <f t="shared" si="85"/>
        <v>#N/A</v>
      </c>
      <c r="D1941" t="s">
        <v>5688</v>
      </c>
      <c r="E1941" t="e">
        <v>#N/A</v>
      </c>
      <c r="F1941" t="e">
        <v>#N/A</v>
      </c>
      <c r="G1941" t="e">
        <v>#N/A</v>
      </c>
      <c r="H1941" s="214">
        <v>258.28622999999999</v>
      </c>
      <c r="I1941" s="425" t="e">
        <v>#N/A</v>
      </c>
      <c r="J1941" s="91">
        <v>48.237870000000001</v>
      </c>
      <c r="K1941" s="425">
        <v>3772.03991</v>
      </c>
      <c r="L1941" s="542" t="s">
        <v>622</v>
      </c>
    </row>
    <row r="1942" spans="1:12" ht="15">
      <c r="A1942">
        <v>303361</v>
      </c>
      <c r="B1942" t="e">
        <f t="shared" si="84"/>
        <v>#N/A</v>
      </c>
      <c r="C1942" s="209" t="e">
        <f t="shared" si="85"/>
        <v>#N/A</v>
      </c>
      <c r="D1942" t="s">
        <v>5689</v>
      </c>
      <c r="E1942" t="e">
        <v>#N/A</v>
      </c>
      <c r="F1942" t="e">
        <v>#N/A</v>
      </c>
      <c r="G1942" t="e">
        <v>#N/A</v>
      </c>
      <c r="H1942" s="214">
        <v>616.20829000000003</v>
      </c>
      <c r="I1942" s="425" t="e">
        <v>#N/A</v>
      </c>
      <c r="J1942" s="91">
        <v>115.08387</v>
      </c>
      <c r="K1942" s="425">
        <v>9280.0856399999993</v>
      </c>
      <c r="L1942" s="542" t="s">
        <v>622</v>
      </c>
    </row>
    <row r="1943" spans="1:12" ht="15">
      <c r="A1943">
        <v>351439</v>
      </c>
      <c r="B1943" t="str">
        <f t="shared" si="84"/>
        <v/>
      </c>
      <c r="C1943" s="209" t="e">
        <f t="shared" si="85"/>
        <v>#N/A</v>
      </c>
      <c r="D1943" t="s">
        <v>5690</v>
      </c>
      <c r="E1943" t="s">
        <v>6629</v>
      </c>
      <c r="F1943" t="s">
        <v>84</v>
      </c>
      <c r="G1943" t="s">
        <v>84</v>
      </c>
      <c r="H1943" s="214">
        <v>0</v>
      </c>
      <c r="I1943" s="425" t="e">
        <v>#N/A</v>
      </c>
      <c r="J1943" s="91">
        <v>0</v>
      </c>
      <c r="K1943" s="425">
        <v>0</v>
      </c>
      <c r="L1943" s="542" t="s">
        <v>622</v>
      </c>
    </row>
    <row r="1944" spans="1:12" ht="15">
      <c r="A1944">
        <v>351706</v>
      </c>
      <c r="B1944" t="e">
        <f t="shared" si="84"/>
        <v>#N/A</v>
      </c>
      <c r="C1944" s="209" t="e">
        <f t="shared" si="85"/>
        <v>#N/A</v>
      </c>
      <c r="D1944" t="s">
        <v>5691</v>
      </c>
      <c r="E1944" t="e">
        <v>#N/A</v>
      </c>
      <c r="F1944" t="e">
        <v>#N/A</v>
      </c>
      <c r="G1944" t="e">
        <v>#N/A</v>
      </c>
      <c r="H1944" s="214">
        <v>179</v>
      </c>
      <c r="I1944" s="425" t="e">
        <v>#N/A</v>
      </c>
      <c r="J1944" s="91">
        <v>26.142189999999999</v>
      </c>
      <c r="K1944" s="425">
        <v>2102.3474200000001</v>
      </c>
      <c r="L1944" s="542" t="s">
        <v>1025</v>
      </c>
    </row>
    <row r="1945" spans="1:12" ht="15">
      <c r="A1945">
        <v>351707</v>
      </c>
      <c r="B1945" t="e">
        <f t="shared" si="84"/>
        <v>#N/A</v>
      </c>
      <c r="C1945" s="209" t="e">
        <f t="shared" si="85"/>
        <v>#N/A</v>
      </c>
      <c r="D1945" t="s">
        <v>5692</v>
      </c>
      <c r="E1945" t="e">
        <v>#N/A</v>
      </c>
      <c r="F1945" t="e">
        <v>#N/A</v>
      </c>
      <c r="G1945" t="e">
        <v>#N/A</v>
      </c>
      <c r="H1945" s="214">
        <v>179</v>
      </c>
      <c r="I1945" s="425" t="e">
        <v>#N/A</v>
      </c>
      <c r="J1945" s="91">
        <v>26.142189999999999</v>
      </c>
      <c r="K1945" s="425">
        <v>2102.3474200000001</v>
      </c>
      <c r="L1945" s="542" t="s">
        <v>621</v>
      </c>
    </row>
    <row r="1946" spans="1:12" ht="15">
      <c r="A1946">
        <v>351806</v>
      </c>
      <c r="B1946" t="e">
        <f t="shared" si="84"/>
        <v>#N/A</v>
      </c>
      <c r="C1946" s="209" t="e">
        <f t="shared" si="85"/>
        <v>#N/A</v>
      </c>
      <c r="D1946" t="s">
        <v>5693</v>
      </c>
      <c r="E1946" t="e">
        <v>#N/A</v>
      </c>
      <c r="F1946" t="e">
        <v>#N/A</v>
      </c>
      <c r="G1946" t="e">
        <v>#N/A</v>
      </c>
      <c r="H1946" s="214">
        <v>815.4</v>
      </c>
      <c r="I1946" s="425" t="e">
        <v>#N/A</v>
      </c>
      <c r="J1946" s="91">
        <v>139.62724</v>
      </c>
      <c r="K1946" s="425">
        <v>10214.844660000001</v>
      </c>
      <c r="L1946" s="542" t="s">
        <v>622</v>
      </c>
    </row>
    <row r="1947" spans="1:12" ht="15">
      <c r="A1947">
        <v>351809</v>
      </c>
      <c r="B1947" t="e">
        <f t="shared" si="84"/>
        <v>#N/A</v>
      </c>
      <c r="C1947" s="209" t="e">
        <f t="shared" si="85"/>
        <v>#N/A</v>
      </c>
      <c r="D1947" t="s">
        <v>5694</v>
      </c>
      <c r="E1947" t="e">
        <v>#N/A</v>
      </c>
      <c r="F1947" t="e">
        <v>#N/A</v>
      </c>
      <c r="G1947" t="e">
        <v>#N/A</v>
      </c>
      <c r="H1947" s="214">
        <v>815.4</v>
      </c>
      <c r="I1947" s="425" t="e">
        <v>#N/A</v>
      </c>
      <c r="J1947" s="91">
        <v>139.62724</v>
      </c>
      <c r="K1947" s="425">
        <v>10214.844660000001</v>
      </c>
      <c r="L1947" s="542" t="s">
        <v>622</v>
      </c>
    </row>
    <row r="1948" spans="1:12" ht="15">
      <c r="A1948">
        <v>340733</v>
      </c>
      <c r="B1948" t="e">
        <f t="shared" si="84"/>
        <v>#N/A</v>
      </c>
      <c r="C1948" s="209" t="e">
        <f t="shared" si="85"/>
        <v>#N/A</v>
      </c>
      <c r="D1948" t="s">
        <v>5695</v>
      </c>
      <c r="E1948" t="e">
        <v>#N/A</v>
      </c>
      <c r="F1948" t="e">
        <v>#N/A</v>
      </c>
      <c r="G1948" t="e">
        <v>#N/A</v>
      </c>
      <c r="H1948" s="214">
        <v>693</v>
      </c>
      <c r="I1948" s="425" t="e">
        <v>#N/A</v>
      </c>
      <c r="J1948" s="91">
        <v>118.66773999999999</v>
      </c>
      <c r="K1948" s="425">
        <v>8681.4904900000001</v>
      </c>
      <c r="L1948" s="542" t="s">
        <v>622</v>
      </c>
    </row>
    <row r="1949" spans="1:12" ht="15">
      <c r="A1949">
        <v>340734</v>
      </c>
      <c r="B1949" t="e">
        <f t="shared" si="84"/>
        <v>#N/A</v>
      </c>
      <c r="C1949" s="209" t="e">
        <f t="shared" si="85"/>
        <v>#N/A</v>
      </c>
      <c r="D1949" t="s">
        <v>5696</v>
      </c>
      <c r="E1949" t="e">
        <v>#N/A</v>
      </c>
      <c r="F1949" t="e">
        <v>#N/A</v>
      </c>
      <c r="G1949" t="e">
        <v>#N/A</v>
      </c>
      <c r="H1949" s="214">
        <v>693</v>
      </c>
      <c r="I1949" s="425" t="e">
        <v>#N/A</v>
      </c>
      <c r="J1949" s="91">
        <v>118.66773999999999</v>
      </c>
      <c r="K1949" s="425">
        <v>8681.4904900000001</v>
      </c>
      <c r="L1949" s="542" t="s">
        <v>622</v>
      </c>
    </row>
    <row r="1950" spans="1:12" ht="15">
      <c r="A1950">
        <v>340884</v>
      </c>
      <c r="B1950" t="str">
        <f t="shared" si="84"/>
        <v/>
      </c>
      <c r="C1950" s="209">
        <f t="shared" si="85"/>
        <v>0</v>
      </c>
      <c r="D1950" t="s">
        <v>5697</v>
      </c>
      <c r="E1950" t="s">
        <v>6630</v>
      </c>
      <c r="F1950" t="s">
        <v>84</v>
      </c>
      <c r="G1950" t="s">
        <v>7755</v>
      </c>
      <c r="H1950" s="214">
        <v>0</v>
      </c>
      <c r="I1950" s="425">
        <v>0</v>
      </c>
      <c r="J1950" s="91">
        <v>0</v>
      </c>
      <c r="K1950" s="425">
        <v>0</v>
      </c>
      <c r="L1950" s="542" t="s">
        <v>624</v>
      </c>
    </row>
    <row r="1951" spans="1:12" ht="15">
      <c r="A1951">
        <v>341562</v>
      </c>
      <c r="B1951" t="e">
        <f t="shared" si="84"/>
        <v>#N/A</v>
      </c>
      <c r="C1951" s="209" t="e">
        <f t="shared" si="85"/>
        <v>#N/A</v>
      </c>
      <c r="D1951" t="s">
        <v>5698</v>
      </c>
      <c r="E1951" t="e">
        <v>#N/A</v>
      </c>
      <c r="F1951" t="e">
        <v>#N/A</v>
      </c>
      <c r="G1951" t="e">
        <v>#N/A</v>
      </c>
      <c r="H1951" s="214">
        <v>471.89449999999999</v>
      </c>
      <c r="I1951" s="425" t="e">
        <v>#N/A</v>
      </c>
      <c r="J1951" s="91">
        <v>88.127070000000003</v>
      </c>
      <c r="K1951" s="425">
        <v>6891.2403000000004</v>
      </c>
      <c r="L1951" s="542" t="s">
        <v>622</v>
      </c>
    </row>
    <row r="1952" spans="1:12" ht="15">
      <c r="A1952">
        <v>412038</v>
      </c>
      <c r="B1952" t="str">
        <f t="shared" si="84"/>
        <v/>
      </c>
      <c r="C1952" s="209" t="e">
        <f t="shared" si="85"/>
        <v>#N/A</v>
      </c>
      <c r="D1952" t="s">
        <v>5699</v>
      </c>
      <c r="E1952" t="s">
        <v>6631</v>
      </c>
      <c r="F1952" t="s">
        <v>84</v>
      </c>
      <c r="G1952" t="s">
        <v>7756</v>
      </c>
      <c r="H1952" s="214">
        <v>0</v>
      </c>
      <c r="I1952" s="425" t="e">
        <v>#N/A</v>
      </c>
      <c r="J1952" s="91">
        <v>0</v>
      </c>
      <c r="K1952" s="425">
        <v>0</v>
      </c>
      <c r="L1952" s="542" t="s">
        <v>622</v>
      </c>
    </row>
    <row r="1953" spans="1:12" ht="15">
      <c r="A1953">
        <v>412039</v>
      </c>
      <c r="B1953" t="str">
        <f t="shared" si="84"/>
        <v>SEVROLL spojovovaica lišta H08/18 3m RAL7016 mat</v>
      </c>
      <c r="C1953" s="209" t="e">
        <f t="shared" si="85"/>
        <v>#N/A</v>
      </c>
      <c r="D1953" t="s">
        <v>5700</v>
      </c>
      <c r="E1953" t="s">
        <v>6632</v>
      </c>
      <c r="F1953" t="s">
        <v>7147</v>
      </c>
      <c r="G1953" t="s">
        <v>7757</v>
      </c>
      <c r="H1953" s="214">
        <v>0</v>
      </c>
      <c r="I1953" s="425" t="e">
        <v>#N/A</v>
      </c>
      <c r="J1953" s="91">
        <v>0</v>
      </c>
      <c r="K1953" s="425">
        <v>0</v>
      </c>
      <c r="L1953" s="542" t="s">
        <v>622</v>
      </c>
    </row>
    <row r="1954" spans="1:12" ht="15">
      <c r="A1954">
        <v>412123</v>
      </c>
      <c r="B1954" t="str">
        <f t="shared" si="84"/>
        <v/>
      </c>
      <c r="C1954" s="209" t="e">
        <f t="shared" si="85"/>
        <v>#N/A</v>
      </c>
      <c r="D1954" t="s">
        <v>5701</v>
      </c>
      <c r="E1954" t="s">
        <v>6271</v>
      </c>
      <c r="F1954" t="s">
        <v>84</v>
      </c>
      <c r="G1954" t="s">
        <v>84</v>
      </c>
      <c r="H1954" s="214">
        <v>0</v>
      </c>
      <c r="I1954" s="425" t="e">
        <v>#N/A</v>
      </c>
      <c r="J1954" s="91">
        <v>79.921940000000006</v>
      </c>
      <c r="K1954" s="425">
        <v>0</v>
      </c>
      <c r="L1954" s="542" t="s">
        <v>622</v>
      </c>
    </row>
    <row r="1955" spans="1:12" ht="15">
      <c r="A1955">
        <v>412125</v>
      </c>
      <c r="B1955" t="str">
        <f t="shared" si="84"/>
        <v/>
      </c>
      <c r="C1955" s="209" t="e">
        <f t="shared" si="85"/>
        <v>#N/A</v>
      </c>
      <c r="D1955" t="s">
        <v>5702</v>
      </c>
      <c r="E1955" t="s">
        <v>6418</v>
      </c>
      <c r="F1955" t="s">
        <v>84</v>
      </c>
      <c r="G1955" t="s">
        <v>84</v>
      </c>
      <c r="H1955" s="214">
        <v>0</v>
      </c>
      <c r="I1955" s="425" t="e">
        <v>#N/A</v>
      </c>
      <c r="J1955" s="91">
        <v>144.57791</v>
      </c>
      <c r="K1955" s="425">
        <v>0</v>
      </c>
      <c r="L1955" s="542" t="s">
        <v>622</v>
      </c>
    </row>
    <row r="1956" spans="1:12" ht="15">
      <c r="A1956">
        <v>412126</v>
      </c>
      <c r="B1956" t="str">
        <f t="shared" si="84"/>
        <v/>
      </c>
      <c r="C1956" s="209" t="e">
        <f t="shared" si="85"/>
        <v>#N/A</v>
      </c>
      <c r="D1956" t="s">
        <v>5703</v>
      </c>
      <c r="E1956" t="s">
        <v>6419</v>
      </c>
      <c r="F1956" t="s">
        <v>84</v>
      </c>
      <c r="G1956" t="s">
        <v>84</v>
      </c>
      <c r="H1956" s="214">
        <v>0</v>
      </c>
      <c r="I1956" s="425" t="e">
        <v>#N/A</v>
      </c>
      <c r="J1956" s="91">
        <v>74.084959999999995</v>
      </c>
      <c r="K1956" s="425">
        <v>0</v>
      </c>
      <c r="L1956" s="542" t="s">
        <v>622</v>
      </c>
    </row>
    <row r="1957" spans="1:12" ht="15">
      <c r="A1957">
        <v>412127</v>
      </c>
      <c r="B1957" t="str">
        <f t="shared" si="84"/>
        <v>SEVROLL hor.vod.lišta Simple 3m(18mm) str.</v>
      </c>
      <c r="C1957" s="209" t="e">
        <f t="shared" si="85"/>
        <v>#N/A</v>
      </c>
      <c r="D1957" t="s">
        <v>5704</v>
      </c>
      <c r="E1957" t="s">
        <v>6335</v>
      </c>
      <c r="F1957" t="s">
        <v>4040</v>
      </c>
      <c r="G1957" t="s">
        <v>7504</v>
      </c>
      <c r="H1957" s="214">
        <v>0</v>
      </c>
      <c r="I1957" s="425" t="e">
        <v>#N/A</v>
      </c>
      <c r="J1957" s="91">
        <v>57.961790000000001</v>
      </c>
      <c r="K1957" s="425">
        <v>0</v>
      </c>
      <c r="L1957" s="542" t="s">
        <v>622</v>
      </c>
    </row>
    <row r="1958" spans="1:12" ht="15">
      <c r="A1958">
        <v>412128</v>
      </c>
      <c r="B1958" t="str">
        <f t="shared" si="84"/>
        <v>SEVROLL spod.krycia lišta Simple 3m(18mm)str</v>
      </c>
      <c r="C1958" s="209" t="e">
        <f t="shared" si="85"/>
        <v>#N/A</v>
      </c>
      <c r="D1958" t="s">
        <v>5705</v>
      </c>
      <c r="E1958" t="s">
        <v>6336</v>
      </c>
      <c r="F1958" t="s">
        <v>4014</v>
      </c>
      <c r="G1958" t="s">
        <v>7505</v>
      </c>
      <c r="H1958" s="214">
        <v>0</v>
      </c>
      <c r="I1958" s="425" t="e">
        <v>#N/A</v>
      </c>
      <c r="J1958" s="91">
        <v>113.27038</v>
      </c>
      <c r="K1958" s="425">
        <v>0</v>
      </c>
      <c r="L1958" s="542" t="s">
        <v>622</v>
      </c>
    </row>
    <row r="1959" spans="1:12" ht="15">
      <c r="A1959">
        <v>412226</v>
      </c>
      <c r="B1959" t="str">
        <f t="shared" si="84"/>
        <v>SEVROLL uholník 17x11mm 3m čierna mat</v>
      </c>
      <c r="C1959" s="209">
        <f t="shared" si="85"/>
        <v>6.4839799999999999</v>
      </c>
      <c r="D1959" t="s">
        <v>5706</v>
      </c>
      <c r="E1959" t="s">
        <v>6633</v>
      </c>
      <c r="F1959" t="s">
        <v>7148</v>
      </c>
      <c r="G1959" t="s">
        <v>7758</v>
      </c>
      <c r="H1959" s="214">
        <v>170.8032</v>
      </c>
      <c r="I1959" s="425">
        <v>6.4839799999999999</v>
      </c>
      <c r="J1959" s="91">
        <v>22.13</v>
      </c>
      <c r="K1959" s="425">
        <v>1935.2486200000001</v>
      </c>
      <c r="L1959" s="542" t="s">
        <v>621</v>
      </c>
    </row>
    <row r="1960" spans="1:12" ht="15">
      <c r="A1960">
        <v>412229</v>
      </c>
      <c r="B1960" t="str">
        <f t="shared" si="84"/>
        <v>SEVROLL Gemini horné vedenie 3 čierna mat</v>
      </c>
      <c r="C1960" s="209">
        <f t="shared" si="85"/>
        <v>37.626339999999999</v>
      </c>
      <c r="D1960" t="s">
        <v>5707</v>
      </c>
      <c r="E1960" t="s">
        <v>6634</v>
      </c>
      <c r="F1960" t="s">
        <v>7149</v>
      </c>
      <c r="G1960" t="s">
        <v>7759</v>
      </c>
      <c r="H1960" s="214">
        <v>965.74976000000004</v>
      </c>
      <c r="I1960" s="425">
        <v>37.626339999999999</v>
      </c>
      <c r="J1960" s="91">
        <v>135.08000000000001</v>
      </c>
      <c r="K1960" s="425">
        <v>10942.21823</v>
      </c>
      <c r="L1960" s="542" t="s">
        <v>621</v>
      </c>
    </row>
    <row r="1961" spans="1:12" ht="15">
      <c r="A1961">
        <v>412231</v>
      </c>
      <c r="B1961" t="str">
        <f t="shared" si="84"/>
        <v>SEVROLL Elegant spod.ved. 3m čierna mat</v>
      </c>
      <c r="C1961" s="209">
        <f t="shared" si="85"/>
        <v>20.681229999999999</v>
      </c>
      <c r="D1961" t="s">
        <v>5708</v>
      </c>
      <c r="E1961" t="s">
        <v>6635</v>
      </c>
      <c r="F1961" t="s">
        <v>7150</v>
      </c>
      <c r="G1961" t="s">
        <v>7760</v>
      </c>
      <c r="H1961" s="214">
        <v>555.11040000000003</v>
      </c>
      <c r="I1961" s="425">
        <v>20.681229999999999</v>
      </c>
      <c r="J1961" s="91">
        <v>73.599999999999994</v>
      </c>
      <c r="K1961" s="425">
        <v>6289.558</v>
      </c>
      <c r="L1961" s="542" t="s">
        <v>621</v>
      </c>
    </row>
    <row r="1962" spans="1:12" ht="15">
      <c r="A1962">
        <v>412605</v>
      </c>
      <c r="B1962" t="str">
        <f t="shared" si="84"/>
        <v>SEVROLL horná vodiaca lišta Simple/Blue 1,5m(pre lamino 18mm)RAL9003 lesk</v>
      </c>
      <c r="C1962" s="209" t="e">
        <f t="shared" si="85"/>
        <v>#N/A</v>
      </c>
      <c r="D1962" t="s">
        <v>5709</v>
      </c>
      <c r="E1962" t="s">
        <v>6636</v>
      </c>
      <c r="F1962" t="s">
        <v>7151</v>
      </c>
      <c r="G1962" t="s">
        <v>7761</v>
      </c>
      <c r="H1962" s="214">
        <v>0</v>
      </c>
      <c r="I1962" s="425" t="e">
        <v>#N/A</v>
      </c>
      <c r="J1962" s="91">
        <v>0</v>
      </c>
      <c r="K1962" s="425">
        <v>0</v>
      </c>
      <c r="L1962" s="542" t="s">
        <v>622</v>
      </c>
    </row>
    <row r="1963" spans="1:12" ht="15">
      <c r="A1963">
        <v>412841</v>
      </c>
      <c r="B1963" t="e">
        <f t="shared" si="84"/>
        <v>#N/A</v>
      </c>
      <c r="C1963" s="209" t="e">
        <f t="shared" si="85"/>
        <v>#N/A</v>
      </c>
      <c r="D1963" t="s">
        <v>5710</v>
      </c>
      <c r="E1963" t="e">
        <v>#N/A</v>
      </c>
      <c r="F1963" t="e">
        <v>#N/A</v>
      </c>
      <c r="G1963" t="e">
        <v>#N/A</v>
      </c>
      <c r="H1963" s="214">
        <v>624.89070000000004</v>
      </c>
      <c r="I1963" s="425" t="e">
        <v>#N/A</v>
      </c>
      <c r="J1963" s="91">
        <v>116.70541</v>
      </c>
      <c r="K1963" s="425">
        <v>9410.8425399999996</v>
      </c>
      <c r="L1963" s="542" t="s">
        <v>622</v>
      </c>
    </row>
    <row r="1964" spans="1:12" ht="15">
      <c r="A1964">
        <v>412844</v>
      </c>
      <c r="B1964" t="e">
        <f t="shared" si="84"/>
        <v>#N/A</v>
      </c>
      <c r="C1964" s="209" t="e">
        <f t="shared" si="85"/>
        <v>#N/A</v>
      </c>
      <c r="D1964" t="s">
        <v>5711</v>
      </c>
      <c r="E1964" t="e">
        <v>#N/A</v>
      </c>
      <c r="F1964" t="e">
        <v>#N/A</v>
      </c>
      <c r="G1964" t="e">
        <v>#N/A</v>
      </c>
      <c r="H1964" s="214">
        <v>253.42308</v>
      </c>
      <c r="I1964" s="425" t="e">
        <v>#N/A</v>
      </c>
      <c r="J1964" s="91">
        <v>47.329630000000002</v>
      </c>
      <c r="K1964" s="425">
        <v>3701.0179499999999</v>
      </c>
      <c r="L1964" s="542" t="s">
        <v>622</v>
      </c>
    </row>
    <row r="1965" spans="1:12" ht="15">
      <c r="A1965">
        <v>412845</v>
      </c>
      <c r="B1965" t="e">
        <f t="shared" si="84"/>
        <v>#N/A</v>
      </c>
      <c r="C1965" s="209" t="e">
        <f t="shared" si="85"/>
        <v>#N/A</v>
      </c>
      <c r="D1965" t="s">
        <v>5712</v>
      </c>
      <c r="E1965" t="e">
        <v>#N/A</v>
      </c>
      <c r="F1965" t="e">
        <v>#N/A</v>
      </c>
      <c r="G1965" t="e">
        <v>#N/A</v>
      </c>
      <c r="H1965" s="214">
        <v>482.55930000000001</v>
      </c>
      <c r="I1965" s="425" t="e">
        <v>#N/A</v>
      </c>
      <c r="J1965" s="91">
        <v>90.123419999999996</v>
      </c>
      <c r="K1965" s="425">
        <v>7047.3479799999996</v>
      </c>
      <c r="L1965" s="542" t="s">
        <v>622</v>
      </c>
    </row>
    <row r="1966" spans="1:12" ht="15">
      <c r="A1966">
        <v>412846</v>
      </c>
      <c r="B1966" t="e">
        <f t="shared" si="84"/>
        <v>#N/A</v>
      </c>
      <c r="C1966" s="209" t="e">
        <f t="shared" si="85"/>
        <v>#N/A</v>
      </c>
      <c r="D1966" t="s">
        <v>5713</v>
      </c>
      <c r="E1966" t="e">
        <v>#N/A</v>
      </c>
      <c r="F1966" t="e">
        <v>#N/A</v>
      </c>
      <c r="G1966" t="e">
        <v>#N/A</v>
      </c>
      <c r="H1966" s="214">
        <v>357.58116000000001</v>
      </c>
      <c r="I1966" s="425" t="e">
        <v>#N/A</v>
      </c>
      <c r="J1966" s="91">
        <v>66.782319999999999</v>
      </c>
      <c r="K1966" s="425">
        <v>5222.1537699999999</v>
      </c>
      <c r="L1966" s="542" t="s">
        <v>622</v>
      </c>
    </row>
    <row r="1967" spans="1:12" ht="15">
      <c r="A1967">
        <v>412909</v>
      </c>
      <c r="B1967" t="e">
        <f t="shared" si="84"/>
        <v>#N/A</v>
      </c>
      <c r="C1967" s="209" t="e">
        <f t="shared" si="85"/>
        <v>#N/A</v>
      </c>
      <c r="D1967" t="s">
        <v>5714</v>
      </c>
      <c r="E1967" t="e">
        <v>#N/A</v>
      </c>
      <c r="F1967" t="e">
        <v>#N/A</v>
      </c>
      <c r="G1967" t="e">
        <v>#N/A</v>
      </c>
      <c r="H1967" s="214">
        <v>5013.0012999999999</v>
      </c>
      <c r="I1967" s="425" t="e">
        <v>#N/A</v>
      </c>
      <c r="J1967" s="91">
        <v>934.29287999999997</v>
      </c>
      <c r="K1967" s="425">
        <v>75339.124309999999</v>
      </c>
      <c r="L1967" s="542" t="s">
        <v>622</v>
      </c>
    </row>
    <row r="1968" spans="1:12" ht="15">
      <c r="A1968">
        <v>288252</v>
      </c>
      <c r="B1968" t="str">
        <f t="shared" si="84"/>
        <v>SEVROLL Alfa II lišta 18mm 2,7m čierna mat</v>
      </c>
      <c r="C1968" s="209">
        <f t="shared" si="85"/>
        <v>19.355509999999999</v>
      </c>
      <c r="D1968" t="s">
        <v>5715</v>
      </c>
      <c r="E1968" t="s">
        <v>6637</v>
      </c>
      <c r="F1968" t="s">
        <v>7152</v>
      </c>
      <c r="G1968" t="s">
        <v>7762</v>
      </c>
      <c r="H1968" s="214">
        <v>547.99360000000001</v>
      </c>
      <c r="I1968" s="425">
        <v>19.355509999999999</v>
      </c>
      <c r="J1968" s="91">
        <v>68.13</v>
      </c>
      <c r="K1968" s="425">
        <v>6208.9226399999998</v>
      </c>
      <c r="L1968" s="542" t="s">
        <v>621</v>
      </c>
    </row>
    <row r="1969" spans="1:12" ht="15">
      <c r="A1969">
        <v>288255</v>
      </c>
      <c r="B1969" t="str">
        <f t="shared" si="84"/>
        <v>SEVROLL úhelník 17*11mm 3m RAL9005 mat</v>
      </c>
      <c r="C1969" s="209" t="e">
        <f t="shared" si="85"/>
        <v>#N/A</v>
      </c>
      <c r="D1969" t="s">
        <v>5716</v>
      </c>
      <c r="E1969" t="s">
        <v>6638</v>
      </c>
      <c r="F1969" t="s">
        <v>7153</v>
      </c>
      <c r="G1969" t="s">
        <v>7763</v>
      </c>
      <c r="H1969" s="214">
        <v>0</v>
      </c>
      <c r="I1969" s="425" t="e">
        <v>#N/A</v>
      </c>
      <c r="J1969" s="91">
        <v>0</v>
      </c>
      <c r="K1969" s="425">
        <v>0</v>
      </c>
      <c r="L1969" s="542" t="s">
        <v>622</v>
      </c>
    </row>
    <row r="1970" spans="1:12" ht="15">
      <c r="A1970">
        <v>288256</v>
      </c>
      <c r="B1970" t="str">
        <f t="shared" si="84"/>
        <v>SEVROLL Gemini horné vedenie 3m RAL9005 mat</v>
      </c>
      <c r="C1970" s="209" t="e">
        <f t="shared" si="85"/>
        <v>#N/A</v>
      </c>
      <c r="D1970" t="s">
        <v>5717</v>
      </c>
      <c r="E1970" t="s">
        <v>6639</v>
      </c>
      <c r="F1970" t="s">
        <v>7154</v>
      </c>
      <c r="G1970" t="s">
        <v>7764</v>
      </c>
      <c r="H1970" s="214">
        <v>0</v>
      </c>
      <c r="I1970" s="425" t="e">
        <v>#N/A</v>
      </c>
      <c r="J1970" s="91">
        <v>0</v>
      </c>
      <c r="K1970" s="425">
        <v>0</v>
      </c>
      <c r="L1970" s="542" t="s">
        <v>622</v>
      </c>
    </row>
    <row r="1971" spans="1:12" ht="15">
      <c r="A1971">
        <v>288566</v>
      </c>
      <c r="B1971" t="e">
        <f t="shared" si="84"/>
        <v>#N/A</v>
      </c>
      <c r="C1971" s="209" t="e">
        <f t="shared" si="85"/>
        <v>#N/A</v>
      </c>
      <c r="D1971" t="s">
        <v>5718</v>
      </c>
      <c r="E1971" t="e">
        <v>#N/A</v>
      </c>
      <c r="F1971" t="e">
        <v>#N/A</v>
      </c>
      <c r="G1971" t="e">
        <v>#N/A</v>
      </c>
      <c r="H1971" s="214">
        <v>810.6</v>
      </c>
      <c r="I1971" s="425" t="e">
        <v>#N/A</v>
      </c>
      <c r="J1971" s="91">
        <v>0</v>
      </c>
      <c r="K1971" s="425">
        <v>0</v>
      </c>
      <c r="L1971" s="542" t="s">
        <v>622</v>
      </c>
    </row>
    <row r="1972" spans="1:12" ht="15">
      <c r="A1972">
        <v>288579</v>
      </c>
      <c r="B1972" t="e">
        <f t="shared" si="84"/>
        <v>#N/A</v>
      </c>
      <c r="C1972" s="209" t="e">
        <f t="shared" si="85"/>
        <v>#N/A</v>
      </c>
      <c r="D1972" t="s">
        <v>5719</v>
      </c>
      <c r="E1972" t="e">
        <v>#N/A</v>
      </c>
      <c r="F1972" t="e">
        <v>#N/A</v>
      </c>
      <c r="G1972" t="e">
        <v>#N/A</v>
      </c>
      <c r="H1972" s="214">
        <v>344.38421</v>
      </c>
      <c r="I1972" s="425" t="e">
        <v>#N/A</v>
      </c>
      <c r="J1972" s="91">
        <v>64.317639999999997</v>
      </c>
      <c r="K1972" s="425">
        <v>5186.4198999999999</v>
      </c>
      <c r="L1972" s="542" t="s">
        <v>622</v>
      </c>
    </row>
    <row r="1973" spans="1:12" ht="15">
      <c r="A1973">
        <v>288675</v>
      </c>
      <c r="B1973" t="str">
        <f t="shared" si="84"/>
        <v>SEVROLL Linea šatná tyč oválná 3m strieborná</v>
      </c>
      <c r="C1973" s="209">
        <f t="shared" si="85"/>
        <v>16.246099999999998</v>
      </c>
      <c r="D1973" t="s">
        <v>5720</v>
      </c>
      <c r="E1973" t="s">
        <v>6640</v>
      </c>
      <c r="F1973" t="s">
        <v>7155</v>
      </c>
      <c r="G1973" t="s">
        <v>7765</v>
      </c>
      <c r="H1973" s="214">
        <v>422.82549</v>
      </c>
      <c r="I1973" s="425">
        <v>16.246099999999998</v>
      </c>
      <c r="J1973" s="91">
        <v>55.25</v>
      </c>
      <c r="K1973" s="425">
        <v>5297.7430999999997</v>
      </c>
      <c r="L1973" s="542" t="s">
        <v>622</v>
      </c>
    </row>
    <row r="1974" spans="1:12" ht="15">
      <c r="A1974">
        <v>288676</v>
      </c>
      <c r="B1974" t="str">
        <f t="shared" si="84"/>
        <v>SEVROLL Linea spojovací element rohový</v>
      </c>
      <c r="C1974" s="209">
        <f t="shared" si="85"/>
        <v>1.34982</v>
      </c>
      <c r="D1974" t="s">
        <v>5721</v>
      </c>
      <c r="E1974" t="s">
        <v>6641</v>
      </c>
      <c r="F1974" t="s">
        <v>5721</v>
      </c>
      <c r="G1974" t="s">
        <v>7766</v>
      </c>
      <c r="H1974" s="214">
        <v>35.396349999999998</v>
      </c>
      <c r="I1974" s="425">
        <v>1.34982</v>
      </c>
      <c r="J1974" s="91">
        <v>4.62</v>
      </c>
      <c r="K1974" s="425">
        <v>443.49448999999998</v>
      </c>
      <c r="L1974" s="542" t="s">
        <v>622</v>
      </c>
    </row>
    <row r="1975" spans="1:12" ht="15">
      <c r="A1975">
        <v>288677</v>
      </c>
      <c r="B1975" t="str">
        <f t="shared" si="84"/>
        <v>SEVROLL Linea upevňovací element stenový</v>
      </c>
      <c r="C1975" s="209">
        <f t="shared" si="85"/>
        <v>1.15699</v>
      </c>
      <c r="D1975" t="s">
        <v>5722</v>
      </c>
      <c r="E1975" t="s">
        <v>6642</v>
      </c>
      <c r="F1975" t="s">
        <v>7156</v>
      </c>
      <c r="G1975" t="s">
        <v>7767</v>
      </c>
      <c r="H1975" s="214">
        <v>29.604220000000002</v>
      </c>
      <c r="I1975" s="425">
        <v>1.15699</v>
      </c>
      <c r="J1975" s="91">
        <v>4</v>
      </c>
      <c r="K1975" s="425">
        <v>370.92264</v>
      </c>
      <c r="L1975" s="542" t="s">
        <v>622</v>
      </c>
    </row>
    <row r="1976" spans="1:12" ht="15">
      <c r="A1976">
        <v>288678</v>
      </c>
      <c r="B1976" t="str">
        <f t="shared" si="84"/>
        <v>SEVROLL Linea nožka s regulaciou</v>
      </c>
      <c r="C1976" s="209">
        <f t="shared" si="85"/>
        <v>2.9647899999999998</v>
      </c>
      <c r="D1976" t="s">
        <v>5723</v>
      </c>
      <c r="E1976" t="s">
        <v>6643</v>
      </c>
      <c r="F1976" t="s">
        <v>7157</v>
      </c>
      <c r="G1976" t="s">
        <v>7768</v>
      </c>
      <c r="H1976" s="214">
        <v>77.228399999999993</v>
      </c>
      <c r="I1976" s="425">
        <v>2.9647899999999998</v>
      </c>
      <c r="J1976" s="91">
        <v>10.24</v>
      </c>
      <c r="K1976" s="425">
        <v>967.62431000000004</v>
      </c>
      <c r="L1976" s="542" t="s">
        <v>622</v>
      </c>
    </row>
    <row r="1977" spans="1:12" ht="15">
      <c r="A1977">
        <v>288679</v>
      </c>
      <c r="B1977" t="str">
        <f t="shared" si="84"/>
        <v>SEVROLL Linea šatná tyč guľatá 3m strieborná</v>
      </c>
      <c r="C1977" s="209">
        <f t="shared" si="85"/>
        <v>9.8826400000000003</v>
      </c>
      <c r="D1977" t="s">
        <v>5724</v>
      </c>
      <c r="E1977" t="s">
        <v>6644</v>
      </c>
      <c r="F1977" t="s">
        <v>7158</v>
      </c>
      <c r="G1977" t="s">
        <v>7769</v>
      </c>
      <c r="H1977" s="214">
        <v>257.428</v>
      </c>
      <c r="I1977" s="425">
        <v>9.8826400000000003</v>
      </c>
      <c r="J1977" s="91">
        <v>33.64</v>
      </c>
      <c r="K1977" s="425">
        <v>3225.4143600000002</v>
      </c>
      <c r="L1977" s="542" t="s">
        <v>622</v>
      </c>
    </row>
    <row r="1978" spans="1:12" ht="15">
      <c r="A1978">
        <v>288680</v>
      </c>
      <c r="B1978" t="str">
        <f t="shared" si="84"/>
        <v>SEVROLL Linea šatná tyč guľatá 4m strieborná</v>
      </c>
      <c r="C1978" s="209">
        <f t="shared" si="85"/>
        <v>0</v>
      </c>
      <c r="D1978" t="s">
        <v>5725</v>
      </c>
      <c r="E1978" t="s">
        <v>6645</v>
      </c>
      <c r="F1978" t="s">
        <v>7159</v>
      </c>
      <c r="G1978" t="s">
        <v>7770</v>
      </c>
      <c r="H1978" s="214">
        <v>0</v>
      </c>
      <c r="I1978" s="425">
        <v>0</v>
      </c>
      <c r="J1978" s="91">
        <v>0</v>
      </c>
      <c r="K1978" s="425">
        <v>0</v>
      </c>
      <c r="L1978" s="542" t="s">
        <v>622</v>
      </c>
    </row>
    <row r="1979" spans="1:12" ht="15">
      <c r="A1979">
        <v>288681</v>
      </c>
      <c r="B1979" t="str">
        <f t="shared" si="84"/>
        <v>SEVROLL Linea základný nosník 3m strieborná</v>
      </c>
      <c r="C1979" s="209">
        <f t="shared" si="85"/>
        <v>35.794440000000002</v>
      </c>
      <c r="D1979" t="s">
        <v>5726</v>
      </c>
      <c r="E1979" t="s">
        <v>6646</v>
      </c>
      <c r="F1979" t="s">
        <v>7160</v>
      </c>
      <c r="G1979" t="s">
        <v>7771</v>
      </c>
      <c r="H1979" s="214">
        <v>931.88936000000001</v>
      </c>
      <c r="I1979" s="425">
        <v>35.794440000000002</v>
      </c>
      <c r="J1979" s="91">
        <v>121.78</v>
      </c>
      <c r="K1979" s="425">
        <v>11676</v>
      </c>
      <c r="L1979" s="542" t="s">
        <v>622</v>
      </c>
    </row>
    <row r="1980" spans="1:12" ht="15">
      <c r="A1980">
        <v>288682</v>
      </c>
      <c r="B1980" t="str">
        <f t="shared" si="84"/>
        <v>SEVROLL Linea držiak oválnej tyče do nosníku</v>
      </c>
      <c r="C1980" s="209">
        <f t="shared" si="85"/>
        <v>1.61497</v>
      </c>
      <c r="D1980" t="s">
        <v>5727</v>
      </c>
      <c r="E1980" t="s">
        <v>6647</v>
      </c>
      <c r="F1980" t="s">
        <v>7161</v>
      </c>
      <c r="G1980" t="s">
        <v>7772</v>
      </c>
      <c r="H1980" s="214">
        <v>41.832050000000002</v>
      </c>
      <c r="I1980" s="425">
        <v>1.61497</v>
      </c>
      <c r="J1980" s="91">
        <v>5.47</v>
      </c>
      <c r="K1980" s="425">
        <v>524.12983999999994</v>
      </c>
      <c r="L1980" s="542" t="s">
        <v>622</v>
      </c>
    </row>
    <row r="1981" spans="1:12" ht="15">
      <c r="A1981">
        <v>288683</v>
      </c>
      <c r="B1981" t="str">
        <f t="shared" si="84"/>
        <v>SEVROLL Linea držiak police</v>
      </c>
      <c r="C1981" s="209">
        <f t="shared" si="85"/>
        <v>2.8924799999999999</v>
      </c>
      <c r="D1981" t="s">
        <v>5728</v>
      </c>
      <c r="E1981" t="s">
        <v>6648</v>
      </c>
      <c r="F1981" t="s">
        <v>7162</v>
      </c>
      <c r="G1981" t="s">
        <v>7773</v>
      </c>
      <c r="H1981" s="214">
        <v>75.297690000000003</v>
      </c>
      <c r="I1981" s="425">
        <v>2.8924799999999999</v>
      </c>
      <c r="J1981" s="91">
        <v>9.84</v>
      </c>
      <c r="K1981" s="425">
        <v>943.43368999999996</v>
      </c>
      <c r="L1981" s="542" t="s">
        <v>622</v>
      </c>
    </row>
    <row r="1982" spans="1:12" ht="15">
      <c r="A1982">
        <v>288684</v>
      </c>
      <c r="B1982" t="str">
        <f t="shared" si="84"/>
        <v>SEVROLL Linea držák police na boty</v>
      </c>
      <c r="C1982" s="209">
        <f t="shared" si="85"/>
        <v>3.5432899999999998</v>
      </c>
      <c r="D1982" t="s">
        <v>5729</v>
      </c>
      <c r="E1982" t="s">
        <v>6649</v>
      </c>
      <c r="F1982" t="s">
        <v>7163</v>
      </c>
      <c r="G1982" t="s">
        <v>7774</v>
      </c>
      <c r="H1982" s="214">
        <v>92.030510000000007</v>
      </c>
      <c r="I1982" s="425">
        <v>3.5432899999999998</v>
      </c>
      <c r="J1982" s="91">
        <v>12.03</v>
      </c>
      <c r="K1982" s="425">
        <v>1153.08564</v>
      </c>
      <c r="L1982" s="542" t="s">
        <v>622</v>
      </c>
    </row>
    <row r="1983" spans="1:12" ht="15">
      <c r="A1983">
        <v>288685</v>
      </c>
      <c r="B1983" t="str">
        <f t="shared" si="84"/>
        <v>SEVROLL Linea záslepka kulaté šatní tyče</v>
      </c>
      <c r="C1983" s="209">
        <f t="shared" si="85"/>
        <v>0.38566</v>
      </c>
      <c r="D1983" t="s">
        <v>5730</v>
      </c>
      <c r="E1983" t="s">
        <v>6650</v>
      </c>
      <c r="F1983" t="s">
        <v>7164</v>
      </c>
      <c r="G1983" t="s">
        <v>7775</v>
      </c>
      <c r="H1983" s="214">
        <v>9.6535499999999992</v>
      </c>
      <c r="I1983" s="425">
        <v>0.38566</v>
      </c>
      <c r="J1983" s="91">
        <v>1.26</v>
      </c>
      <c r="K1983" s="425">
        <v>120.95305</v>
      </c>
      <c r="L1983" s="542" t="s">
        <v>622</v>
      </c>
    </row>
    <row r="1984" spans="1:12" ht="15">
      <c r="A1984">
        <v>288686</v>
      </c>
      <c r="B1984" t="str">
        <f t="shared" si="84"/>
        <v>SEVROLL Linea záslepka nosníku</v>
      </c>
      <c r="C1984" s="209">
        <f t="shared" si="85"/>
        <v>1.32572</v>
      </c>
      <c r="D1984" t="s">
        <v>5731</v>
      </c>
      <c r="E1984" t="s">
        <v>6651</v>
      </c>
      <c r="F1984" t="s">
        <v>7165</v>
      </c>
      <c r="G1984" t="s">
        <v>7776</v>
      </c>
      <c r="H1984" s="214">
        <v>34.752780000000001</v>
      </c>
      <c r="I1984" s="425">
        <v>1.32572</v>
      </c>
      <c r="J1984" s="91">
        <v>4.72</v>
      </c>
      <c r="K1984" s="425">
        <v>435.43095</v>
      </c>
      <c r="L1984" s="542" t="s">
        <v>622</v>
      </c>
    </row>
    <row r="1985" spans="1:12" ht="15">
      <c r="A1985">
        <v>288687</v>
      </c>
      <c r="B1985" t="str">
        <f t="shared" si="84"/>
        <v>SEVROLL Linea sada 8 ks upevňovacích uholníkov</v>
      </c>
      <c r="C1985" s="209">
        <f t="shared" si="85"/>
        <v>19.644760000000002</v>
      </c>
      <c r="D1985" t="s">
        <v>5732</v>
      </c>
      <c r="E1985" t="s">
        <v>6652</v>
      </c>
      <c r="F1985" t="s">
        <v>7166</v>
      </c>
      <c r="G1985" t="s">
        <v>7777</v>
      </c>
      <c r="H1985" s="214">
        <v>511.63815</v>
      </c>
      <c r="I1985" s="425">
        <v>19.644760000000002</v>
      </c>
      <c r="J1985" s="91">
        <v>66.86</v>
      </c>
      <c r="K1985" s="425">
        <v>6410.5110500000001</v>
      </c>
      <c r="L1985" s="542" t="s">
        <v>622</v>
      </c>
    </row>
    <row r="1986" spans="1:12" ht="15">
      <c r="A1986">
        <v>288725</v>
      </c>
      <c r="B1986" t="str">
        <f t="shared" si="84"/>
        <v>SEVROLL Comfort horné vedenie 1,7m RAL9005 lesk</v>
      </c>
      <c r="C1986" s="209" t="e">
        <f t="shared" si="85"/>
        <v>#N/A</v>
      </c>
      <c r="D1986" t="s">
        <v>5733</v>
      </c>
      <c r="E1986" t="s">
        <v>6653</v>
      </c>
      <c r="F1986" t="s">
        <v>7167</v>
      </c>
      <c r="G1986" t="s">
        <v>7778</v>
      </c>
      <c r="H1986" s="214">
        <v>0</v>
      </c>
      <c r="I1986" s="425" t="e">
        <v>#N/A</v>
      </c>
      <c r="J1986" s="91">
        <v>0</v>
      </c>
      <c r="K1986" s="425">
        <v>0</v>
      </c>
      <c r="L1986" s="542" t="s">
        <v>622</v>
      </c>
    </row>
    <row r="1987" spans="1:12" ht="15">
      <c r="A1987">
        <v>288728</v>
      </c>
      <c r="B1987" t="str">
        <f t="shared" si="84"/>
        <v>SEVROLL Doubler II spodné vedenie 1,7m RAL9005 lesk</v>
      </c>
      <c r="C1987" s="209" t="e">
        <f t="shared" si="85"/>
        <v>#N/A</v>
      </c>
      <c r="D1987" t="s">
        <v>5734</v>
      </c>
      <c r="E1987" t="s">
        <v>6654</v>
      </c>
      <c r="F1987" t="s">
        <v>7168</v>
      </c>
      <c r="G1987" t="s">
        <v>7779</v>
      </c>
      <c r="H1987" s="214">
        <v>0</v>
      </c>
      <c r="I1987" s="425" t="e">
        <v>#N/A</v>
      </c>
      <c r="J1987" s="91">
        <v>0</v>
      </c>
      <c r="K1987" s="425">
        <v>0</v>
      </c>
      <c r="L1987" s="542" t="s">
        <v>622</v>
      </c>
    </row>
    <row r="1988" spans="1:12" ht="15">
      <c r="A1988">
        <v>288729</v>
      </c>
      <c r="B1988" t="str">
        <f t="shared" si="84"/>
        <v>SEVROLL Doubler II maska 1,7m RAL9005 lesk</v>
      </c>
      <c r="C1988" s="209" t="e">
        <f t="shared" si="85"/>
        <v>#N/A</v>
      </c>
      <c r="D1988" t="s">
        <v>5735</v>
      </c>
      <c r="E1988" t="s">
        <v>6655</v>
      </c>
      <c r="F1988" t="s">
        <v>5735</v>
      </c>
      <c r="G1988" t="s">
        <v>7780</v>
      </c>
      <c r="H1988" s="214">
        <v>0</v>
      </c>
      <c r="I1988" s="425" t="e">
        <v>#N/A</v>
      </c>
      <c r="J1988" s="91">
        <v>0</v>
      </c>
      <c r="K1988" s="425">
        <v>0</v>
      </c>
      <c r="L1988" s="542" t="s">
        <v>622</v>
      </c>
    </row>
    <row r="1989" spans="1:12" ht="15">
      <c r="A1989">
        <v>389653</v>
      </c>
      <c r="B1989" t="str">
        <f t="shared" si="84"/>
        <v/>
      </c>
      <c r="C1989" s="209" t="e">
        <f t="shared" si="85"/>
        <v>#N/A</v>
      </c>
      <c r="D1989" t="s">
        <v>5736</v>
      </c>
      <c r="E1989" t="s">
        <v>6656</v>
      </c>
      <c r="F1989" t="s">
        <v>84</v>
      </c>
      <c r="G1989" t="s">
        <v>84</v>
      </c>
      <c r="H1989" s="214">
        <v>0</v>
      </c>
      <c r="I1989" s="425" t="e">
        <v>#N/A</v>
      </c>
      <c r="J1989" s="91">
        <v>65.81832</v>
      </c>
      <c r="K1989" s="425">
        <v>0</v>
      </c>
      <c r="L1989" s="542" t="s">
        <v>622</v>
      </c>
    </row>
    <row r="1990" spans="1:12" ht="15">
      <c r="A1990">
        <v>389654</v>
      </c>
      <c r="B1990" t="str">
        <f t="shared" ref="B1990:B2053" si="86">IF($A$2=1,D1990,IF($A$2=2,F1990,IF($A$2=3,G1990,IF($A$2=4,E1990,"zadat jazyk"))))</f>
        <v/>
      </c>
      <c r="C1990" s="209" t="e">
        <f t="shared" ref="C1990:C2053" si="87">IF($A$2=1,H1990,IF($A$2=2,I1990,IF($A$2=3,J1990,IF($A$2=4,K1990,"zadat jazyk"))))</f>
        <v>#N/A</v>
      </c>
      <c r="D1990" t="s">
        <v>5737</v>
      </c>
      <c r="E1990" t="s">
        <v>6657</v>
      </c>
      <c r="F1990" t="s">
        <v>84</v>
      </c>
      <c r="G1990" t="s">
        <v>84</v>
      </c>
      <c r="H1990" s="214">
        <v>0</v>
      </c>
      <c r="I1990" s="425" t="e">
        <v>#N/A</v>
      </c>
      <c r="J1990" s="91">
        <v>34.355710000000002</v>
      </c>
      <c r="K1990" s="425">
        <v>0</v>
      </c>
      <c r="L1990" s="542" t="s">
        <v>622</v>
      </c>
    </row>
    <row r="1991" spans="1:12" ht="15">
      <c r="A1991">
        <v>389655</v>
      </c>
      <c r="B1991" t="str">
        <f t="shared" si="86"/>
        <v/>
      </c>
      <c r="C1991" s="209" t="e">
        <f t="shared" si="87"/>
        <v>#N/A</v>
      </c>
      <c r="D1991" t="s">
        <v>5738</v>
      </c>
      <c r="E1991" t="s">
        <v>6658</v>
      </c>
      <c r="F1991" t="s">
        <v>84</v>
      </c>
      <c r="G1991" t="s">
        <v>84</v>
      </c>
      <c r="H1991" s="214">
        <v>0</v>
      </c>
      <c r="I1991" s="425" t="e">
        <v>#N/A</v>
      </c>
      <c r="J1991" s="91">
        <v>0</v>
      </c>
      <c r="K1991" s="425">
        <v>0</v>
      </c>
      <c r="L1991" s="542" t="s">
        <v>622</v>
      </c>
    </row>
    <row r="1992" spans="1:12" ht="15">
      <c r="A1992">
        <v>390262</v>
      </c>
      <c r="B1992" t="e">
        <f t="shared" si="86"/>
        <v>#N/A</v>
      </c>
      <c r="C1992" s="209" t="e">
        <f t="shared" si="87"/>
        <v>#N/A</v>
      </c>
      <c r="D1992" t="s">
        <v>5739</v>
      </c>
      <c r="E1992" t="e">
        <v>#N/A</v>
      </c>
      <c r="F1992" t="e">
        <v>#N/A</v>
      </c>
      <c r="G1992" t="e">
        <v>#N/A</v>
      </c>
      <c r="H1992" s="214">
        <v>347.85365999999999</v>
      </c>
      <c r="I1992" s="425" t="e">
        <v>#N/A</v>
      </c>
      <c r="J1992" s="91">
        <v>64.962239999999994</v>
      </c>
      <c r="K1992" s="425">
        <v>5079.8285599999999</v>
      </c>
      <c r="L1992" s="542" t="s">
        <v>622</v>
      </c>
    </row>
    <row r="1993" spans="1:12" ht="15">
      <c r="A1993">
        <v>390266</v>
      </c>
      <c r="B1993" t="e">
        <f t="shared" si="86"/>
        <v>#N/A</v>
      </c>
      <c r="C1993" s="209" t="e">
        <f t="shared" si="87"/>
        <v>#N/A</v>
      </c>
      <c r="D1993" t="s">
        <v>5740</v>
      </c>
      <c r="E1993" t="e">
        <v>#N/A</v>
      </c>
      <c r="F1993" t="e">
        <v>#N/A</v>
      </c>
      <c r="G1993" t="e">
        <v>#N/A</v>
      </c>
      <c r="H1993" s="214">
        <v>295.27113000000003</v>
      </c>
      <c r="I1993" s="425" t="e">
        <v>#N/A</v>
      </c>
      <c r="J1993" s="91">
        <v>55.14237</v>
      </c>
      <c r="K1993" s="425">
        <v>4311.9474899999996</v>
      </c>
      <c r="L1993" s="542" t="s">
        <v>622</v>
      </c>
    </row>
    <row r="1994" spans="1:12" ht="15">
      <c r="A1994">
        <v>390442</v>
      </c>
      <c r="B1994" t="e">
        <f t="shared" si="86"/>
        <v>#N/A</v>
      </c>
      <c r="C1994" s="209" t="e">
        <f t="shared" si="87"/>
        <v>#N/A</v>
      </c>
      <c r="D1994" t="s">
        <v>5741</v>
      </c>
      <c r="E1994" t="e">
        <v>#N/A</v>
      </c>
      <c r="F1994" t="e">
        <v>#N/A</v>
      </c>
      <c r="G1994" t="e">
        <v>#N/A</v>
      </c>
      <c r="H1994" s="214">
        <v>8538.81</v>
      </c>
      <c r="I1994" s="425" t="e">
        <v>#N/A</v>
      </c>
      <c r="J1994" s="91">
        <v>1448.7858699999999</v>
      </c>
      <c r="K1994" s="425">
        <v>117312.02417</v>
      </c>
      <c r="L1994" s="542" t="s">
        <v>622</v>
      </c>
    </row>
    <row r="1995" spans="1:12" ht="15">
      <c r="A1995">
        <v>461424</v>
      </c>
      <c r="B1995" t="e">
        <f t="shared" si="86"/>
        <v>#N/A</v>
      </c>
      <c r="C1995" s="209" t="e">
        <f t="shared" si="87"/>
        <v>#N/A</v>
      </c>
      <c r="D1995" t="s">
        <v>5742</v>
      </c>
      <c r="E1995" t="e">
        <v>#N/A</v>
      </c>
      <c r="F1995" t="e">
        <v>#N/A</v>
      </c>
      <c r="G1995" t="e">
        <v>#N/A</v>
      </c>
      <c r="H1995" s="214">
        <v>521.08320000000003</v>
      </c>
      <c r="I1995" s="425" t="e">
        <v>#N/A</v>
      </c>
      <c r="J1995" s="91">
        <v>89.229089999999999</v>
      </c>
      <c r="K1995" s="425">
        <v>7180.6013800000001</v>
      </c>
      <c r="L1995" s="542" t="s">
        <v>621</v>
      </c>
    </row>
    <row r="1996" spans="1:12" ht="15">
      <c r="A1996">
        <v>461425</v>
      </c>
      <c r="B1996" t="e">
        <f t="shared" si="86"/>
        <v>#N/A</v>
      </c>
      <c r="C1996" s="209" t="e">
        <f t="shared" si="87"/>
        <v>#N/A</v>
      </c>
      <c r="D1996" t="s">
        <v>5743</v>
      </c>
      <c r="E1996" t="e">
        <v>#N/A</v>
      </c>
      <c r="F1996" t="e">
        <v>#N/A</v>
      </c>
      <c r="G1996" t="e">
        <v>#N/A</v>
      </c>
      <c r="H1996" s="214">
        <v>507.495</v>
      </c>
      <c r="I1996" s="425" t="e">
        <v>#N/A</v>
      </c>
      <c r="J1996" s="91">
        <v>86.902289999999994</v>
      </c>
      <c r="K1996" s="425">
        <v>6993.3508499999998</v>
      </c>
      <c r="L1996" s="542" t="s">
        <v>621</v>
      </c>
    </row>
    <row r="1997" spans="1:12" ht="15">
      <c r="A1997">
        <v>461426</v>
      </c>
      <c r="B1997" t="e">
        <f t="shared" si="86"/>
        <v>#N/A</v>
      </c>
      <c r="C1997" s="209" t="e">
        <f t="shared" si="87"/>
        <v>#N/A</v>
      </c>
      <c r="D1997" t="s">
        <v>5744</v>
      </c>
      <c r="E1997" t="e">
        <v>#N/A</v>
      </c>
      <c r="F1997" t="e">
        <v>#N/A</v>
      </c>
      <c r="G1997" t="e">
        <v>#N/A</v>
      </c>
      <c r="H1997" s="214">
        <v>520.93907999999999</v>
      </c>
      <c r="I1997" s="425" t="e">
        <v>#N/A</v>
      </c>
      <c r="J1997" s="91">
        <v>89.204430000000002</v>
      </c>
      <c r="K1997" s="425">
        <v>7178.6123200000002</v>
      </c>
      <c r="L1997" s="542" t="s">
        <v>621</v>
      </c>
    </row>
    <row r="1998" spans="1:12" ht="15">
      <c r="A1998">
        <v>461427</v>
      </c>
      <c r="B1998" t="e">
        <f t="shared" si="86"/>
        <v>#N/A</v>
      </c>
      <c r="C1998" s="209" t="e">
        <f t="shared" si="87"/>
        <v>#N/A</v>
      </c>
      <c r="D1998" t="s">
        <v>5745</v>
      </c>
      <c r="E1998" t="e">
        <v>#N/A</v>
      </c>
      <c r="F1998" t="e">
        <v>#N/A</v>
      </c>
      <c r="G1998" t="e">
        <v>#N/A</v>
      </c>
      <c r="H1998" s="214">
        <v>520.93907999999999</v>
      </c>
      <c r="I1998" s="425" t="e">
        <v>#N/A</v>
      </c>
      <c r="J1998" s="91">
        <v>89.204430000000002</v>
      </c>
      <c r="K1998" s="425">
        <v>7178.6123200000002</v>
      </c>
      <c r="L1998" s="542" t="s">
        <v>621</v>
      </c>
    </row>
    <row r="1999" spans="1:12" ht="15">
      <c r="A1999">
        <v>461687</v>
      </c>
      <c r="B1999" t="str">
        <f t="shared" si="86"/>
        <v>SEVROLL Harmony sada kovania pre dvoje dvere</v>
      </c>
      <c r="C1999" s="209">
        <f t="shared" si="87"/>
        <v>1148.02531</v>
      </c>
      <c r="D1999" t="s">
        <v>5746</v>
      </c>
      <c r="E1999" t="s">
        <v>6326</v>
      </c>
      <c r="F1999" t="s">
        <v>6954</v>
      </c>
      <c r="G1999" t="s">
        <v>7496</v>
      </c>
      <c r="H1999" s="214">
        <v>33068.922879999998</v>
      </c>
      <c r="I1999" s="425">
        <v>1148.02531</v>
      </c>
      <c r="J1999" s="91">
        <v>3907.88</v>
      </c>
      <c r="K1999" s="425">
        <v>374680.25967</v>
      </c>
      <c r="L1999" s="542" t="s">
        <v>622</v>
      </c>
    </row>
    <row r="2000" spans="1:12" ht="15">
      <c r="A2000">
        <v>461712</v>
      </c>
      <c r="B2000" t="str">
        <f t="shared" si="86"/>
        <v>SEVROLL Hide N spodné vedenie 3m oliva new</v>
      </c>
      <c r="C2000" s="209">
        <f t="shared" si="87"/>
        <v>14.631130000000001</v>
      </c>
      <c r="D2000" t="s">
        <v>5747</v>
      </c>
      <c r="E2000" t="s">
        <v>6659</v>
      </c>
      <c r="F2000" t="s">
        <v>7169</v>
      </c>
      <c r="G2000" t="s">
        <v>7781</v>
      </c>
      <c r="H2000" s="214">
        <v>424.60608000000002</v>
      </c>
      <c r="I2000" s="425">
        <v>14.631130000000001</v>
      </c>
      <c r="J2000" s="91">
        <v>57.626730000000002</v>
      </c>
      <c r="K2000" s="425">
        <v>4773.6132600000001</v>
      </c>
      <c r="L2000" s="542" t="s">
        <v>622</v>
      </c>
    </row>
    <row r="2001" spans="1:12" ht="15">
      <c r="A2001">
        <v>461882</v>
      </c>
      <c r="B2001" t="str">
        <f t="shared" si="86"/>
        <v>SEVROLL Exclusive horné vedenie 1,2m oliva new</v>
      </c>
      <c r="C2001" s="209">
        <f t="shared" si="87"/>
        <v>14.99269</v>
      </c>
      <c r="D2001" t="s">
        <v>5748</v>
      </c>
      <c r="E2001" t="s">
        <v>6660</v>
      </c>
      <c r="F2001" t="s">
        <v>7170</v>
      </c>
      <c r="G2001" t="s">
        <v>7782</v>
      </c>
      <c r="H2001" s="214">
        <v>435.36468000000002</v>
      </c>
      <c r="I2001" s="425">
        <v>14.99269</v>
      </c>
      <c r="J2001" s="91">
        <v>59.086860000000001</v>
      </c>
      <c r="K2001" s="425">
        <v>4894.5663100000002</v>
      </c>
      <c r="L2001" s="542" t="s">
        <v>622</v>
      </c>
    </row>
    <row r="2002" spans="1:12" ht="15">
      <c r="A2002">
        <v>461890</v>
      </c>
      <c r="B2002" t="str">
        <f t="shared" si="86"/>
        <v>SEVROLL Hide M spodné vedenie 3m oliva new</v>
      </c>
      <c r="C2002" s="209">
        <f t="shared" si="87"/>
        <v>10.629860000000001</v>
      </c>
      <c r="D2002" t="s">
        <v>5749</v>
      </c>
      <c r="E2002" t="s">
        <v>6661</v>
      </c>
      <c r="F2002" t="s">
        <v>7171</v>
      </c>
      <c r="G2002" t="s">
        <v>7783</v>
      </c>
      <c r="H2002" s="214">
        <v>308.41320000000002</v>
      </c>
      <c r="I2002" s="425">
        <v>10.629860000000001</v>
      </c>
      <c r="J2002" s="91">
        <v>41.857250000000001</v>
      </c>
      <c r="K2002" s="425">
        <v>3467.32044</v>
      </c>
      <c r="L2002" s="542" t="s">
        <v>622</v>
      </c>
    </row>
    <row r="2003" spans="1:12" ht="15">
      <c r="A2003">
        <v>461891</v>
      </c>
      <c r="B2003" t="str">
        <f t="shared" si="86"/>
        <v>SEVROLL Exclusive horné vedenie 1,8m oliva new</v>
      </c>
      <c r="C2003" s="209">
        <f t="shared" si="87"/>
        <v>22.48903</v>
      </c>
      <c r="D2003" t="s">
        <v>5750</v>
      </c>
      <c r="E2003" t="s">
        <v>6662</v>
      </c>
      <c r="F2003" t="s">
        <v>7172</v>
      </c>
      <c r="G2003" t="s">
        <v>7784</v>
      </c>
      <c r="H2003" s="214">
        <v>652.6884</v>
      </c>
      <c r="I2003" s="425">
        <v>22.48903</v>
      </c>
      <c r="J2003" s="91">
        <v>88.581620000000001</v>
      </c>
      <c r="K2003" s="425">
        <v>7337.8176899999999</v>
      </c>
      <c r="L2003" s="542" t="s">
        <v>622</v>
      </c>
    </row>
    <row r="2004" spans="1:12" ht="15">
      <c r="A2004">
        <v>461892</v>
      </c>
      <c r="B2004" t="str">
        <f t="shared" si="86"/>
        <v>SEVROLL Universal 18 úch.lišta 2,7m oliva new</v>
      </c>
      <c r="C2004" s="209">
        <f t="shared" si="87"/>
        <v>19.331410000000002</v>
      </c>
      <c r="D2004" t="s">
        <v>5751</v>
      </c>
      <c r="E2004" t="s">
        <v>6663</v>
      </c>
      <c r="F2004" t="s">
        <v>7173</v>
      </c>
      <c r="G2004" t="s">
        <v>7785</v>
      </c>
      <c r="H2004" s="214">
        <v>557.24544000000003</v>
      </c>
      <c r="I2004" s="425">
        <v>19.331410000000002</v>
      </c>
      <c r="J2004" s="91">
        <v>65.136030000000005</v>
      </c>
      <c r="K2004" s="425">
        <v>6313.7486200000003</v>
      </c>
      <c r="L2004" s="542" t="s">
        <v>621</v>
      </c>
    </row>
    <row r="2005" spans="1:12" ht="15">
      <c r="A2005">
        <v>461893</v>
      </c>
      <c r="B2005" t="str">
        <f t="shared" si="86"/>
        <v>SEVROLL First horné/spodné vedenie 1,2m oliv</v>
      </c>
      <c r="C2005" s="209">
        <f t="shared" si="87"/>
        <v>5.3993000000000002</v>
      </c>
      <c r="D2005" t="s">
        <v>5752</v>
      </c>
      <c r="E2005" t="s">
        <v>6664</v>
      </c>
      <c r="F2005" t="s">
        <v>3765</v>
      </c>
      <c r="G2005" t="s">
        <v>7786</v>
      </c>
      <c r="H2005" s="214">
        <v>145.18271999999999</v>
      </c>
      <c r="I2005" s="425">
        <v>5.3993000000000002</v>
      </c>
      <c r="J2005" s="91">
        <v>20.239999999999998</v>
      </c>
      <c r="K2005" s="425">
        <v>1644.9613300000001</v>
      </c>
      <c r="L2005" s="542" t="s">
        <v>622</v>
      </c>
    </row>
    <row r="2006" spans="1:12" ht="15">
      <c r="A2006">
        <v>461894</v>
      </c>
      <c r="B2006" t="str">
        <f t="shared" si="86"/>
        <v>SEVROLL Gemini-2 úch.lišta 2,7m oliva new</v>
      </c>
      <c r="C2006" s="209">
        <f t="shared" si="87"/>
        <v>22.464929999999999</v>
      </c>
      <c r="D2006" t="s">
        <v>5753</v>
      </c>
      <c r="E2006" t="s">
        <v>6665</v>
      </c>
      <c r="F2006" t="s">
        <v>7174</v>
      </c>
      <c r="G2006" t="s">
        <v>7787</v>
      </c>
      <c r="H2006" s="214">
        <v>602.79295999999999</v>
      </c>
      <c r="I2006" s="425">
        <v>22.464929999999999</v>
      </c>
      <c r="J2006" s="91">
        <v>80.924620000000004</v>
      </c>
      <c r="K2006" s="425">
        <v>6829.8149199999998</v>
      </c>
      <c r="L2006" s="542" t="s">
        <v>621</v>
      </c>
    </row>
    <row r="2007" spans="1:12" ht="15">
      <c r="A2007">
        <v>461895</v>
      </c>
      <c r="B2007" t="str">
        <f t="shared" si="86"/>
        <v>SEVROLL System 10 II úch.lišta 2,7m oliva new</v>
      </c>
      <c r="C2007" s="209">
        <f t="shared" si="87"/>
        <v>21.790019999999998</v>
      </c>
      <c r="D2007" t="s">
        <v>5754</v>
      </c>
      <c r="E2007" t="s">
        <v>6666</v>
      </c>
      <c r="F2007" t="s">
        <v>7175</v>
      </c>
      <c r="G2007" t="s">
        <v>7788</v>
      </c>
      <c r="H2007" s="214">
        <v>602.79295999999999</v>
      </c>
      <c r="I2007" s="425">
        <v>21.790019999999998</v>
      </c>
      <c r="J2007" s="91">
        <v>84.76</v>
      </c>
      <c r="K2007" s="425">
        <v>6829.8149199999998</v>
      </c>
      <c r="L2007" s="542" t="s">
        <v>621</v>
      </c>
    </row>
    <row r="2008" spans="1:12" ht="15">
      <c r="A2008">
        <v>461896</v>
      </c>
      <c r="B2008" t="str">
        <f t="shared" si="86"/>
        <v>SEVROLL FOX II - ÚCH.LIŠTA 2,7m oliva new</v>
      </c>
      <c r="C2008" s="209">
        <f t="shared" si="87"/>
        <v>19.2591</v>
      </c>
      <c r="D2008" t="s">
        <v>5755</v>
      </c>
      <c r="E2008" t="s">
        <v>6667</v>
      </c>
      <c r="F2008" t="s">
        <v>7176</v>
      </c>
      <c r="G2008" t="s">
        <v>7789</v>
      </c>
      <c r="H2008" s="214">
        <v>493.90591999999998</v>
      </c>
      <c r="I2008" s="425">
        <v>19.2591</v>
      </c>
      <c r="J2008" s="91">
        <v>71.12</v>
      </c>
      <c r="K2008" s="425">
        <v>5596.0939200000003</v>
      </c>
      <c r="L2008" s="542" t="s">
        <v>621</v>
      </c>
    </row>
    <row r="2009" spans="1:12" ht="15">
      <c r="A2009">
        <v>461897</v>
      </c>
      <c r="B2009" t="str">
        <f t="shared" si="86"/>
        <v>SEVROLL Hide N spodné vedenie 6m oliva new</v>
      </c>
      <c r="C2009" s="209">
        <f t="shared" si="87"/>
        <v>29.21405</v>
      </c>
      <c r="D2009" t="s">
        <v>5756</v>
      </c>
      <c r="E2009" t="s">
        <v>6668</v>
      </c>
      <c r="F2009" t="s">
        <v>7177</v>
      </c>
      <c r="G2009" t="s">
        <v>7790</v>
      </c>
      <c r="H2009" s="214">
        <v>848.49491999999998</v>
      </c>
      <c r="I2009" s="425">
        <v>29.21405</v>
      </c>
      <c r="J2009" s="91">
        <v>115.15611</v>
      </c>
      <c r="K2009" s="425">
        <v>9539.1629799999992</v>
      </c>
      <c r="L2009" s="542" t="s">
        <v>622</v>
      </c>
    </row>
    <row r="2010" spans="1:12" ht="15">
      <c r="A2010">
        <v>461898</v>
      </c>
      <c r="B2010" t="str">
        <f t="shared" si="86"/>
        <v>SEVROLL Gemini horné vedenie 1,7m oliva new</v>
      </c>
      <c r="C2010" s="209">
        <f t="shared" si="87"/>
        <v>18.704699999999999</v>
      </c>
      <c r="D2010" t="s">
        <v>5757</v>
      </c>
      <c r="E2010" t="s">
        <v>6669</v>
      </c>
      <c r="F2010" t="s">
        <v>7178</v>
      </c>
      <c r="G2010" t="s">
        <v>7791</v>
      </c>
      <c r="H2010" s="214">
        <v>480.38400000000001</v>
      </c>
      <c r="I2010" s="425">
        <v>18.704699999999999</v>
      </c>
      <c r="J2010" s="91">
        <v>68.260000000000005</v>
      </c>
      <c r="K2010" s="425">
        <v>5442.8867399999999</v>
      </c>
      <c r="L2010" s="542" t="s">
        <v>621</v>
      </c>
    </row>
    <row r="2011" spans="1:12" ht="15">
      <c r="A2011">
        <v>461899</v>
      </c>
      <c r="B2011" t="str">
        <f t="shared" si="86"/>
        <v>SEVROLL Gemini horné vedenie 2,35m oliva new</v>
      </c>
      <c r="C2011" s="209">
        <f t="shared" si="87"/>
        <v>25.863589999999999</v>
      </c>
      <c r="D2011" t="s">
        <v>5758</v>
      </c>
      <c r="E2011" t="s">
        <v>6670</v>
      </c>
      <c r="F2011" t="s">
        <v>7179</v>
      </c>
      <c r="G2011" t="s">
        <v>7792</v>
      </c>
      <c r="H2011" s="214">
        <v>663.99743999999998</v>
      </c>
      <c r="I2011" s="425">
        <v>25.863589999999999</v>
      </c>
      <c r="J2011" s="91">
        <v>85.77</v>
      </c>
      <c r="K2011" s="425">
        <v>7523.2790000000005</v>
      </c>
      <c r="L2011" s="542" t="s">
        <v>621</v>
      </c>
    </row>
    <row r="2012" spans="1:12" ht="15">
      <c r="A2012">
        <v>461900</v>
      </c>
      <c r="B2012" t="str">
        <f t="shared" si="86"/>
        <v>SEVROLL Gemini horné vedenie 3m oliva new</v>
      </c>
      <c r="C2012" s="209">
        <f t="shared" si="87"/>
        <v>33.070689999999999</v>
      </c>
      <c r="D2012" t="s">
        <v>5759</v>
      </c>
      <c r="E2012" t="s">
        <v>6671</v>
      </c>
      <c r="F2012" t="s">
        <v>7180</v>
      </c>
      <c r="G2012" t="s">
        <v>7793</v>
      </c>
      <c r="H2012" s="214">
        <v>849.03423999999995</v>
      </c>
      <c r="I2012" s="425">
        <v>33.070689999999999</v>
      </c>
      <c r="J2012" s="91">
        <v>109.54</v>
      </c>
      <c r="K2012" s="425">
        <v>9619.7983399999994</v>
      </c>
      <c r="L2012" s="542" t="s">
        <v>621</v>
      </c>
    </row>
    <row r="2013" spans="1:12" ht="15">
      <c r="A2013">
        <v>461901</v>
      </c>
      <c r="B2013" t="str">
        <f t="shared" si="86"/>
        <v>SEVROLL Gemini horné vedenie 4,05m oliva new</v>
      </c>
      <c r="C2013" s="209">
        <f t="shared" si="87"/>
        <v>44.592399999999998</v>
      </c>
      <c r="D2013" t="s">
        <v>5760</v>
      </c>
      <c r="E2013" t="s">
        <v>6672</v>
      </c>
      <c r="F2013" t="s">
        <v>7181</v>
      </c>
      <c r="G2013" t="s">
        <v>7794</v>
      </c>
      <c r="H2013" s="214">
        <v>1145.09312</v>
      </c>
      <c r="I2013" s="425">
        <v>44.592399999999998</v>
      </c>
      <c r="J2013" s="91">
        <v>147.82</v>
      </c>
      <c r="K2013" s="425">
        <v>12974.22928</v>
      </c>
      <c r="L2013" s="542" t="s">
        <v>621</v>
      </c>
    </row>
    <row r="2014" spans="1:12" ht="15">
      <c r="A2014">
        <v>461902</v>
      </c>
      <c r="B2014" t="str">
        <f t="shared" si="86"/>
        <v>SEVROLL 182 UHOLNÍK 17*11 oliva new 1,7m</v>
      </c>
      <c r="C2014" s="209">
        <f t="shared" si="87"/>
        <v>3.1817299999999999</v>
      </c>
      <c r="D2014" t="s">
        <v>5761</v>
      </c>
      <c r="E2014" t="s">
        <v>6673</v>
      </c>
      <c r="F2014" t="s">
        <v>7182</v>
      </c>
      <c r="G2014" t="s">
        <v>7795</v>
      </c>
      <c r="H2014" s="214">
        <v>83.97824</v>
      </c>
      <c r="I2014" s="425">
        <v>3.1817299999999999</v>
      </c>
      <c r="J2014" s="91">
        <v>10.52</v>
      </c>
      <c r="K2014" s="425">
        <v>951.49722999999994</v>
      </c>
      <c r="L2014" s="542" t="s">
        <v>621</v>
      </c>
    </row>
    <row r="2015" spans="1:12" ht="15">
      <c r="A2015">
        <v>461903</v>
      </c>
      <c r="B2015" t="str">
        <f t="shared" si="86"/>
        <v>SEVROLL 183 UHOLNÍK 17*11 oliva new 2,35m</v>
      </c>
      <c r="C2015" s="209">
        <f t="shared" si="87"/>
        <v>4.4351399999999996</v>
      </c>
      <c r="D2015" t="s">
        <v>5762</v>
      </c>
      <c r="E2015" t="s">
        <v>6674</v>
      </c>
      <c r="F2015" t="s">
        <v>7183</v>
      </c>
      <c r="G2015" t="s">
        <v>7796</v>
      </c>
      <c r="H2015" s="214">
        <v>116.71552</v>
      </c>
      <c r="I2015" s="425">
        <v>4.4351399999999996</v>
      </c>
      <c r="J2015" s="91">
        <v>14.55</v>
      </c>
      <c r="K2015" s="425">
        <v>1322.4199000000001</v>
      </c>
      <c r="L2015" s="542" t="s">
        <v>621</v>
      </c>
    </row>
    <row r="2016" spans="1:12" ht="15">
      <c r="A2016">
        <v>461904</v>
      </c>
      <c r="B2016" t="str">
        <f t="shared" si="86"/>
        <v>SEVROLL spojovaciá lišta "T" 3m oliva new</v>
      </c>
      <c r="C2016" s="209">
        <f t="shared" si="87"/>
        <v>11.08784</v>
      </c>
      <c r="D2016" t="s">
        <v>5763</v>
      </c>
      <c r="E2016" t="s">
        <v>6675</v>
      </c>
      <c r="F2016" t="s">
        <v>7184</v>
      </c>
      <c r="G2016" t="s">
        <v>7797</v>
      </c>
      <c r="H2016" s="214">
        <v>319.54432000000003</v>
      </c>
      <c r="I2016" s="425">
        <v>11.08784</v>
      </c>
      <c r="J2016" s="91">
        <v>37.351320000000001</v>
      </c>
      <c r="K2016" s="425">
        <v>3620.5276199999998</v>
      </c>
      <c r="L2016" s="542" t="s">
        <v>621</v>
      </c>
    </row>
    <row r="2017" spans="1:12" ht="15">
      <c r="A2017">
        <v>461905</v>
      </c>
      <c r="B2017" t="str">
        <f t="shared" si="86"/>
        <v>SEVROLL spodná krycia lišta 3m 10mm oliva new</v>
      </c>
      <c r="C2017" s="209">
        <f t="shared" si="87"/>
        <v>29.310459999999999</v>
      </c>
      <c r="D2017" t="s">
        <v>5764</v>
      </c>
      <c r="E2017" t="s">
        <v>6676</v>
      </c>
      <c r="F2017" t="s">
        <v>7185</v>
      </c>
      <c r="G2017" t="s">
        <v>7798</v>
      </c>
      <c r="H2017" s="214">
        <v>786.40639999999996</v>
      </c>
      <c r="I2017" s="425">
        <v>29.310459999999999</v>
      </c>
      <c r="J2017" s="91">
        <v>96.016149999999996</v>
      </c>
      <c r="K2017" s="425">
        <v>8910.2071799999994</v>
      </c>
      <c r="L2017" s="542" t="s">
        <v>621</v>
      </c>
    </row>
    <row r="2018" spans="1:12" ht="15">
      <c r="A2018">
        <v>461906</v>
      </c>
      <c r="B2018" t="str">
        <f t="shared" si="86"/>
        <v>SEVROLL spodná krycia lišta 2,35m 10mm oliva new</v>
      </c>
      <c r="C2018" s="209">
        <f t="shared" si="87"/>
        <v>22.898800000000001</v>
      </c>
      <c r="D2018" t="s">
        <v>5765</v>
      </c>
      <c r="E2018" t="s">
        <v>6677</v>
      </c>
      <c r="F2018" t="s">
        <v>7186</v>
      </c>
      <c r="G2018" t="s">
        <v>7799</v>
      </c>
      <c r="H2018" s="214">
        <v>614.89152000000001</v>
      </c>
      <c r="I2018" s="425">
        <v>22.898800000000001</v>
      </c>
      <c r="J2018" s="91">
        <v>75.192310000000006</v>
      </c>
      <c r="K2018" s="425">
        <v>6966.8950299999997</v>
      </c>
      <c r="L2018" s="542" t="s">
        <v>621</v>
      </c>
    </row>
    <row r="2019" spans="1:12" ht="15">
      <c r="A2019">
        <v>461907</v>
      </c>
      <c r="B2019" t="str">
        <f t="shared" si="86"/>
        <v>SEVROLL spodná krycia lišta 1,7m 10mm oliva new</v>
      </c>
      <c r="C2019" s="209">
        <f t="shared" si="87"/>
        <v>16.607659999999999</v>
      </c>
      <c r="D2019" t="s">
        <v>5766</v>
      </c>
      <c r="E2019" t="s">
        <v>6678</v>
      </c>
      <c r="F2019" t="s">
        <v>7187</v>
      </c>
      <c r="G2019" t="s">
        <v>7800</v>
      </c>
      <c r="H2019" s="214">
        <v>445.51168000000001</v>
      </c>
      <c r="I2019" s="425">
        <v>16.607659999999999</v>
      </c>
      <c r="J2019" s="91">
        <v>54.403849999999998</v>
      </c>
      <c r="K2019" s="425">
        <v>5047.7734899999996</v>
      </c>
      <c r="L2019" s="542" t="s">
        <v>621</v>
      </c>
    </row>
    <row r="2020" spans="1:12" ht="15">
      <c r="A2020">
        <v>461908</v>
      </c>
      <c r="B2020" t="str">
        <f t="shared" si="86"/>
        <v>SEVROLL 206 VOD.LIŠTA HOR.1,7M oliva new</v>
      </c>
      <c r="C2020" s="209">
        <f t="shared" si="87"/>
        <v>10.081759999999999</v>
      </c>
      <c r="D2020" t="s">
        <v>5767</v>
      </c>
      <c r="E2020" t="s">
        <v>6679</v>
      </c>
      <c r="F2020" t="s">
        <v>7188</v>
      </c>
      <c r="G2020" t="s">
        <v>7801</v>
      </c>
      <c r="H2020" s="214">
        <v>292.23360000000002</v>
      </c>
      <c r="I2020" s="425">
        <v>10.081759999999999</v>
      </c>
      <c r="J2020" s="91">
        <v>47.291539999999998</v>
      </c>
      <c r="K2020" s="425">
        <v>2709.3480800000002</v>
      </c>
      <c r="L2020" s="542" t="s">
        <v>621</v>
      </c>
    </row>
    <row r="2021" spans="1:12" ht="15">
      <c r="A2021">
        <v>461909</v>
      </c>
      <c r="B2021" t="str">
        <f t="shared" si="86"/>
        <v>SEVROLL 207 VOD.LIŠTA HOR.2,35M oliva new</v>
      </c>
      <c r="C2021" s="209">
        <f t="shared" si="87"/>
        <v>13.97822</v>
      </c>
      <c r="D2021" t="s">
        <v>5768</v>
      </c>
      <c r="E2021" t="s">
        <v>6680</v>
      </c>
      <c r="F2021" t="s">
        <v>7189</v>
      </c>
      <c r="G2021" t="s">
        <v>7802</v>
      </c>
      <c r="H2021" s="214">
        <v>405.32400000000001</v>
      </c>
      <c r="I2021" s="425">
        <v>13.97822</v>
      </c>
      <c r="J2021" s="91">
        <v>65.390770000000003</v>
      </c>
      <c r="K2021" s="425">
        <v>3757.6077399999999</v>
      </c>
      <c r="L2021" s="542" t="s">
        <v>621</v>
      </c>
    </row>
    <row r="2022" spans="1:12" ht="15">
      <c r="A2022">
        <v>461910</v>
      </c>
      <c r="B2022" t="str">
        <f t="shared" si="86"/>
        <v>SEVROLL 208 VOD.LIŠTA HOR 3M oliva new</v>
      </c>
      <c r="C2022" s="209">
        <f t="shared" si="87"/>
        <v>17.847439999999999</v>
      </c>
      <c r="D2022" t="s">
        <v>5769</v>
      </c>
      <c r="E2022" t="s">
        <v>6681</v>
      </c>
      <c r="F2022" t="s">
        <v>7190</v>
      </c>
      <c r="G2022" t="s">
        <v>7803</v>
      </c>
      <c r="H2022" s="214">
        <v>517.41359999999997</v>
      </c>
      <c r="I2022" s="425">
        <v>17.847439999999999</v>
      </c>
      <c r="J2022" s="91">
        <v>83.454620000000006</v>
      </c>
      <c r="K2022" s="425">
        <v>4797.8038699999997</v>
      </c>
      <c r="L2022" s="542" t="s">
        <v>621</v>
      </c>
    </row>
    <row r="2023" spans="1:12" ht="15">
      <c r="A2023">
        <v>461911</v>
      </c>
      <c r="B2023" t="str">
        <f t="shared" si="86"/>
        <v>SEVROLL 153 SPOJ.LIŠTA "H 10"3M oliva new</v>
      </c>
      <c r="C2023" s="209">
        <f t="shared" si="87"/>
        <v>17.017420000000001</v>
      </c>
      <c r="D2023" t="s">
        <v>5770</v>
      </c>
      <c r="E2023" t="s">
        <v>6682</v>
      </c>
      <c r="F2023" t="s">
        <v>7191</v>
      </c>
      <c r="G2023" t="s">
        <v>7804</v>
      </c>
      <c r="H2023" s="214">
        <v>423.44959999999998</v>
      </c>
      <c r="I2023" s="425">
        <v>17.017420000000001</v>
      </c>
      <c r="J2023" s="91">
        <v>58.33</v>
      </c>
      <c r="K2023" s="425">
        <v>4797.8038699999997</v>
      </c>
      <c r="L2023" s="542" t="s">
        <v>621</v>
      </c>
    </row>
    <row r="2024" spans="1:12" ht="15">
      <c r="A2024">
        <v>461912</v>
      </c>
      <c r="B2024" t="str">
        <f t="shared" si="86"/>
        <v>SEVROLL Focus 16mm úchytová lišta 2,7m oliva new</v>
      </c>
      <c r="C2024" s="209">
        <f t="shared" si="87"/>
        <v>8.8461700000000008</v>
      </c>
      <c r="D2024" t="s">
        <v>5771</v>
      </c>
      <c r="E2024" t="s">
        <v>6683</v>
      </c>
      <c r="F2024" t="s">
        <v>7192</v>
      </c>
      <c r="G2024" t="s">
        <v>7805</v>
      </c>
      <c r="H2024" s="214">
        <v>233.43104</v>
      </c>
      <c r="I2024" s="425">
        <v>8.8461700000000008</v>
      </c>
      <c r="J2024" s="91">
        <v>29.624359999999999</v>
      </c>
      <c r="K2024" s="425">
        <v>2644.83977</v>
      </c>
      <c r="L2024" s="542" t="s">
        <v>622</v>
      </c>
    </row>
    <row r="2025" spans="1:12" ht="15">
      <c r="A2025">
        <v>461913</v>
      </c>
      <c r="B2025" t="str">
        <f t="shared" si="86"/>
        <v>SEVROLL Tytan úch.lišta 18mm 2,7m oliva new</v>
      </c>
      <c r="C2025" s="209">
        <f t="shared" si="87"/>
        <v>17.499500000000001</v>
      </c>
      <c r="D2025" t="s">
        <v>5772</v>
      </c>
      <c r="E2025" t="s">
        <v>6684</v>
      </c>
      <c r="F2025" t="s">
        <v>7193</v>
      </c>
      <c r="G2025" t="s">
        <v>7806</v>
      </c>
      <c r="H2025" s="214">
        <v>571.86693000000002</v>
      </c>
      <c r="I2025" s="425">
        <v>17.499500000000001</v>
      </c>
      <c r="J2025" s="91">
        <v>72.504180000000005</v>
      </c>
      <c r="K2025" s="425">
        <v>5854.1270800000002</v>
      </c>
      <c r="L2025" s="542" t="s">
        <v>621</v>
      </c>
    </row>
    <row r="2026" spans="1:12" ht="15">
      <c r="A2026">
        <v>461914</v>
      </c>
      <c r="B2026" t="str">
        <f t="shared" si="86"/>
        <v>SEVROLL HOR.VEDENIE COMFORT 2,35 M oliva new</v>
      </c>
      <c r="C2026" s="209">
        <f t="shared" si="87"/>
        <v>48.955219999999997</v>
      </c>
      <c r="D2026" t="s">
        <v>5773</v>
      </c>
      <c r="E2026" t="s">
        <v>6685</v>
      </c>
      <c r="F2026" t="s">
        <v>7194</v>
      </c>
      <c r="G2026" t="s">
        <v>7807</v>
      </c>
      <c r="H2026" s="214">
        <v>1313.7612799999999</v>
      </c>
      <c r="I2026" s="425">
        <v>48.955219999999997</v>
      </c>
      <c r="J2026" s="91">
        <v>166.72734</v>
      </c>
      <c r="K2026" s="425">
        <v>14885.28728</v>
      </c>
      <c r="L2026" s="542" t="s">
        <v>622</v>
      </c>
    </row>
    <row r="2027" spans="1:12" ht="15">
      <c r="A2027">
        <v>461915</v>
      </c>
      <c r="B2027" t="str">
        <f t="shared" si="86"/>
        <v>SEVROLL HOR.VEDENIE COMFORT 3 M oliva new</v>
      </c>
      <c r="C2027" s="209">
        <f t="shared" si="87"/>
        <v>62.45346</v>
      </c>
      <c r="D2027" t="s">
        <v>5774</v>
      </c>
      <c r="E2027" t="s">
        <v>6686</v>
      </c>
      <c r="F2027" t="s">
        <v>7195</v>
      </c>
      <c r="G2027" t="s">
        <v>7808</v>
      </c>
      <c r="H2027" s="214">
        <v>1676.0064</v>
      </c>
      <c r="I2027" s="425">
        <v>62.45346</v>
      </c>
      <c r="J2027" s="91">
        <v>212.69927999999999</v>
      </c>
      <c r="K2027" s="425">
        <v>18989.627079999998</v>
      </c>
      <c r="L2027" s="542" t="s">
        <v>622</v>
      </c>
    </row>
    <row r="2028" spans="1:12" ht="15">
      <c r="A2028">
        <v>461916</v>
      </c>
      <c r="B2028" t="str">
        <f t="shared" si="86"/>
        <v>SEVROLL HOR.VEDENIE COMFORT 4,05 M oliva new</v>
      </c>
      <c r="C2028" s="209">
        <f t="shared" si="87"/>
        <v>84.315790000000007</v>
      </c>
      <c r="D2028" t="s">
        <v>5775</v>
      </c>
      <c r="E2028" t="s">
        <v>6687</v>
      </c>
      <c r="F2028" t="s">
        <v>7196</v>
      </c>
      <c r="G2028" t="s">
        <v>7809</v>
      </c>
      <c r="H2028" s="214">
        <v>2263.1424000000002</v>
      </c>
      <c r="I2028" s="425">
        <v>84.315790000000007</v>
      </c>
      <c r="J2028" s="91">
        <v>287.21177</v>
      </c>
      <c r="K2028" s="425">
        <v>25642.0442</v>
      </c>
      <c r="L2028" s="542" t="s">
        <v>622</v>
      </c>
    </row>
    <row r="2029" spans="1:12" ht="15">
      <c r="A2029">
        <v>461917</v>
      </c>
      <c r="B2029" t="str">
        <f t="shared" si="86"/>
        <v>SEVROLL 161 U PROFna DTD 18mm-3m, oliva new</v>
      </c>
      <c r="C2029" s="209">
        <f t="shared" si="87"/>
        <v>5.7367499999999998</v>
      </c>
      <c r="D2029" t="s">
        <v>5172</v>
      </c>
      <c r="E2029" t="s">
        <v>6688</v>
      </c>
      <c r="F2029" t="s">
        <v>7197</v>
      </c>
      <c r="G2029" t="s">
        <v>7810</v>
      </c>
      <c r="H2029" s="214">
        <v>165.10975999999999</v>
      </c>
      <c r="I2029" s="425">
        <v>5.7367499999999998</v>
      </c>
      <c r="J2029" s="91">
        <v>19.510000000000002</v>
      </c>
      <c r="K2029" s="425">
        <v>1870.7403300000001</v>
      </c>
      <c r="L2029" s="542" t="s">
        <v>621</v>
      </c>
    </row>
    <row r="2030" spans="1:12" ht="15">
      <c r="A2030">
        <v>461918</v>
      </c>
      <c r="B2030" t="str">
        <f t="shared" si="86"/>
        <v>SEVROLL spojovacia lišta H30 3m oliva new</v>
      </c>
      <c r="C2030" s="209">
        <f t="shared" si="87"/>
        <v>25.863589999999999</v>
      </c>
      <c r="D2030" t="s">
        <v>5776</v>
      </c>
      <c r="E2030" t="s">
        <v>6689</v>
      </c>
      <c r="F2030" t="s">
        <v>7198</v>
      </c>
      <c r="G2030" t="s">
        <v>7811</v>
      </c>
      <c r="H2030" s="214">
        <v>757.93920000000003</v>
      </c>
      <c r="I2030" s="425">
        <v>25.863589999999999</v>
      </c>
      <c r="J2030" s="91">
        <v>88.594989999999996</v>
      </c>
      <c r="K2030" s="425">
        <v>8587.6657400000004</v>
      </c>
      <c r="L2030" s="542" t="s">
        <v>621</v>
      </c>
    </row>
    <row r="2031" spans="1:12" ht="15">
      <c r="A2031">
        <v>461919</v>
      </c>
      <c r="B2031" t="str">
        <f t="shared" si="86"/>
        <v>SEVROLL Master úchytová lišta 2,7m oliva new</v>
      </c>
      <c r="C2031" s="209">
        <f t="shared" si="87"/>
        <v>29.69613</v>
      </c>
      <c r="D2031" t="s">
        <v>5777</v>
      </c>
      <c r="E2031" t="s">
        <v>6690</v>
      </c>
      <c r="F2031" t="s">
        <v>7199</v>
      </c>
      <c r="G2031" t="s">
        <v>7812</v>
      </c>
      <c r="H2031" s="214">
        <v>903.12192000000005</v>
      </c>
      <c r="I2031" s="425">
        <v>29.69613</v>
      </c>
      <c r="J2031" s="91">
        <v>114.61376</v>
      </c>
      <c r="K2031" s="425">
        <v>10232.62708</v>
      </c>
      <c r="L2031" s="542" t="s">
        <v>622</v>
      </c>
    </row>
    <row r="2032" spans="1:12" ht="15">
      <c r="A2032">
        <v>461920</v>
      </c>
      <c r="B2032" t="str">
        <f t="shared" si="86"/>
        <v>SEVROLL Master úchytová lišta 3m oliva new</v>
      </c>
      <c r="C2032" s="209">
        <f t="shared" si="87"/>
        <v>32.998379999999997</v>
      </c>
      <c r="D2032" t="s">
        <v>5778</v>
      </c>
      <c r="E2032" t="s">
        <v>6691</v>
      </c>
      <c r="F2032" t="s">
        <v>7200</v>
      </c>
      <c r="G2032" t="s">
        <v>7813</v>
      </c>
      <c r="H2032" s="214">
        <v>1002.75712</v>
      </c>
      <c r="I2032" s="425">
        <v>32.998379999999997</v>
      </c>
      <c r="J2032" s="91">
        <v>127.25830000000001</v>
      </c>
      <c r="K2032" s="425">
        <v>11361.5221</v>
      </c>
      <c r="L2032" s="542" t="s">
        <v>622</v>
      </c>
    </row>
    <row r="2033" spans="1:12" ht="15">
      <c r="A2033">
        <v>461921</v>
      </c>
      <c r="B2033" t="str">
        <f t="shared" si="86"/>
        <v>SEVROLL uholník K2 Decor 2,35m oliva new</v>
      </c>
      <c r="C2033" s="209">
        <f t="shared" si="87"/>
        <v>5.6403400000000001</v>
      </c>
      <c r="D2033" t="s">
        <v>5779</v>
      </c>
      <c r="E2033" t="s">
        <v>6692</v>
      </c>
      <c r="F2033" t="s">
        <v>7201</v>
      </c>
      <c r="G2033" t="s">
        <v>7814</v>
      </c>
      <c r="H2033" s="214">
        <v>151.58784</v>
      </c>
      <c r="I2033" s="425">
        <v>5.6403400000000001</v>
      </c>
      <c r="J2033" s="91">
        <v>19.64</v>
      </c>
      <c r="K2033" s="425">
        <v>1717.53315</v>
      </c>
      <c r="L2033" s="542" t="s">
        <v>621</v>
      </c>
    </row>
    <row r="2034" spans="1:12" ht="15">
      <c r="A2034">
        <v>461922</v>
      </c>
      <c r="B2034" t="str">
        <f t="shared" si="86"/>
        <v>SEVROLL uholník K2 Decor 3m oliva new</v>
      </c>
      <c r="C2034" s="209">
        <f t="shared" si="87"/>
        <v>7.2070999999999996</v>
      </c>
      <c r="D2034" t="s">
        <v>5780</v>
      </c>
      <c r="E2034" t="s">
        <v>6693</v>
      </c>
      <c r="F2034" t="s">
        <v>7202</v>
      </c>
      <c r="G2034" t="s">
        <v>7815</v>
      </c>
      <c r="H2034" s="214">
        <v>193.57696000000001</v>
      </c>
      <c r="I2034" s="425">
        <v>7.2070999999999996</v>
      </c>
      <c r="J2034" s="91">
        <v>25.07</v>
      </c>
      <c r="K2034" s="425">
        <v>2193.2817700000001</v>
      </c>
      <c r="L2034" s="542" t="s">
        <v>621</v>
      </c>
    </row>
    <row r="2035" spans="1:12" ht="15">
      <c r="A2035">
        <v>461923</v>
      </c>
      <c r="B2035" t="str">
        <f t="shared" si="86"/>
        <v>SEVROLL spojovacia lišta H18 3m oliva new</v>
      </c>
      <c r="C2035" s="209">
        <f t="shared" si="87"/>
        <v>14.052630000000001</v>
      </c>
      <c r="D2035" t="s">
        <v>5781</v>
      </c>
      <c r="E2035" t="s">
        <v>6694</v>
      </c>
      <c r="F2035" t="s">
        <v>7203</v>
      </c>
      <c r="G2035" t="s">
        <v>7816</v>
      </c>
      <c r="H2035" s="214">
        <v>377.19040000000001</v>
      </c>
      <c r="I2035" s="425">
        <v>14.052630000000001</v>
      </c>
      <c r="J2035" s="91">
        <v>54.17</v>
      </c>
      <c r="K2035" s="425">
        <v>4273.6740300000001</v>
      </c>
      <c r="L2035" s="542" t="s">
        <v>621</v>
      </c>
    </row>
    <row r="2036" spans="1:12" ht="15">
      <c r="A2036">
        <v>461924</v>
      </c>
      <c r="B2036" t="str">
        <f t="shared" si="86"/>
        <v>SEVROLL spojovacia lišta T Decor 3m oliva new</v>
      </c>
      <c r="C2036" s="209">
        <f t="shared" si="87"/>
        <v>11.08784</v>
      </c>
      <c r="D2036" t="s">
        <v>5782</v>
      </c>
      <c r="E2036" t="s">
        <v>6695</v>
      </c>
      <c r="F2036" t="s">
        <v>7204</v>
      </c>
      <c r="G2036" t="s">
        <v>7817</v>
      </c>
      <c r="H2036" s="214">
        <v>319.54432000000003</v>
      </c>
      <c r="I2036" s="425">
        <v>11.08784</v>
      </c>
      <c r="J2036" s="91">
        <v>37.351320000000001</v>
      </c>
      <c r="K2036" s="425">
        <v>3620.5276199999998</v>
      </c>
      <c r="L2036" s="542" t="s">
        <v>621</v>
      </c>
    </row>
    <row r="2037" spans="1:12" ht="15">
      <c r="A2037">
        <v>461925</v>
      </c>
      <c r="B2037" t="str">
        <f t="shared" si="86"/>
        <v>SEVROLL profil "U" Decor 18mm 3m oliva new</v>
      </c>
      <c r="C2037" s="209">
        <f t="shared" si="87"/>
        <v>8.1712600000000002</v>
      </c>
      <c r="D2037" t="s">
        <v>5783</v>
      </c>
      <c r="E2037" t="s">
        <v>6696</v>
      </c>
      <c r="F2037" t="s">
        <v>6696</v>
      </c>
      <c r="G2037" t="s">
        <v>7818</v>
      </c>
      <c r="H2037" s="214">
        <v>235.56608</v>
      </c>
      <c r="I2037" s="425">
        <v>8.1712600000000002</v>
      </c>
      <c r="J2037" s="91">
        <v>29.895320000000002</v>
      </c>
      <c r="K2037" s="425">
        <v>2669.0303899999999</v>
      </c>
      <c r="L2037" s="542" t="s">
        <v>622</v>
      </c>
    </row>
    <row r="2038" spans="1:12" ht="15">
      <c r="A2038">
        <v>461926</v>
      </c>
      <c r="B2038" t="str">
        <f t="shared" si="86"/>
        <v>SEVROLL Single horné vedenie 1,7m oliva new</v>
      </c>
      <c r="C2038" s="209">
        <f t="shared" si="87"/>
        <v>0</v>
      </c>
      <c r="D2038" t="s">
        <v>5784</v>
      </c>
      <c r="E2038" t="s">
        <v>6697</v>
      </c>
      <c r="F2038" t="s">
        <v>7205</v>
      </c>
      <c r="G2038" t="s">
        <v>7819</v>
      </c>
      <c r="H2038" s="214">
        <v>0</v>
      </c>
      <c r="I2038" s="425">
        <v>0</v>
      </c>
      <c r="J2038" s="91">
        <v>0</v>
      </c>
      <c r="K2038" s="425">
        <v>0</v>
      </c>
      <c r="L2038" s="542" t="s">
        <v>622</v>
      </c>
    </row>
    <row r="2039" spans="1:12" ht="15">
      <c r="A2039">
        <v>461927</v>
      </c>
      <c r="B2039" t="str">
        <f t="shared" si="86"/>
        <v>SEVROLL Single horné vedenie 3m oliva new</v>
      </c>
      <c r="C2039" s="209">
        <f t="shared" si="87"/>
        <v>32.034219999999998</v>
      </c>
      <c r="D2039" t="s">
        <v>5785</v>
      </c>
      <c r="E2039" t="s">
        <v>6698</v>
      </c>
      <c r="F2039" t="s">
        <v>7206</v>
      </c>
      <c r="G2039" t="s">
        <v>7820</v>
      </c>
      <c r="H2039" s="214">
        <v>922.33727999999996</v>
      </c>
      <c r="I2039" s="425">
        <v>32.034219999999998</v>
      </c>
      <c r="J2039" s="91">
        <v>117.05235</v>
      </c>
      <c r="K2039" s="425">
        <v>10450.34254</v>
      </c>
      <c r="L2039" s="542" t="s">
        <v>622</v>
      </c>
    </row>
    <row r="2040" spans="1:12" ht="15">
      <c r="A2040">
        <v>461928</v>
      </c>
      <c r="B2040" t="str">
        <f t="shared" si="86"/>
        <v>SEVROLL SMART spodné vedenia 1,7 M oliva new</v>
      </c>
      <c r="C2040" s="209">
        <f t="shared" si="87"/>
        <v>4.3869300000000004</v>
      </c>
      <c r="D2040" t="s">
        <v>5786</v>
      </c>
      <c r="E2040" t="s">
        <v>6699</v>
      </c>
      <c r="F2040" t="s">
        <v>7207</v>
      </c>
      <c r="G2040" t="s">
        <v>7821</v>
      </c>
      <c r="H2040" s="214">
        <v>117.4272</v>
      </c>
      <c r="I2040" s="425">
        <v>4.3869300000000004</v>
      </c>
      <c r="J2040" s="91">
        <v>15.233079999999999</v>
      </c>
      <c r="K2040" s="425">
        <v>1330.48343</v>
      </c>
      <c r="L2040" s="542" t="s">
        <v>622</v>
      </c>
    </row>
    <row r="2041" spans="1:12" ht="15">
      <c r="A2041">
        <v>461929</v>
      </c>
      <c r="B2041" t="str">
        <f t="shared" si="86"/>
        <v>SEVROLL SMART spodné vedenia 2,35M oliva new</v>
      </c>
      <c r="C2041" s="209">
        <f t="shared" si="87"/>
        <v>6.0500999999999996</v>
      </c>
      <c r="D2041" t="s">
        <v>5787</v>
      </c>
      <c r="E2041" t="s">
        <v>6700</v>
      </c>
      <c r="F2041" t="s">
        <v>7208</v>
      </c>
      <c r="G2041" t="s">
        <v>7822</v>
      </c>
      <c r="H2041" s="214">
        <v>162.26303999999999</v>
      </c>
      <c r="I2041" s="425">
        <v>6.0500999999999996</v>
      </c>
      <c r="J2041" s="91">
        <v>21.071539999999999</v>
      </c>
      <c r="K2041" s="425">
        <v>1838.4861800000001</v>
      </c>
      <c r="L2041" s="542" t="s">
        <v>622</v>
      </c>
    </row>
    <row r="2042" spans="1:12" ht="15">
      <c r="A2042">
        <v>461930</v>
      </c>
      <c r="B2042" t="str">
        <f t="shared" si="86"/>
        <v>SEVROLL SMART SPODNÉ VEDENIE 3M oliva new</v>
      </c>
      <c r="C2042" s="209">
        <f t="shared" si="87"/>
        <v>7.6891800000000003</v>
      </c>
      <c r="D2042" t="s">
        <v>5788</v>
      </c>
      <c r="E2042" t="s">
        <v>6701</v>
      </c>
      <c r="F2042" t="s">
        <v>7209</v>
      </c>
      <c r="G2042" t="s">
        <v>7823</v>
      </c>
      <c r="H2042" s="214">
        <v>206.38720000000001</v>
      </c>
      <c r="I2042" s="425">
        <v>7.6891800000000003</v>
      </c>
      <c r="J2042" s="91">
        <v>26.892309999999998</v>
      </c>
      <c r="K2042" s="425">
        <v>2338.4254099999998</v>
      </c>
      <c r="L2042" s="542" t="s">
        <v>622</v>
      </c>
    </row>
    <row r="2043" spans="1:12" ht="15">
      <c r="A2043">
        <v>461931</v>
      </c>
      <c r="B2043" t="str">
        <f t="shared" si="86"/>
        <v>SEVROLL Elegant spodné vedenie 2,35m oliva new</v>
      </c>
      <c r="C2043" s="209">
        <f t="shared" si="87"/>
        <v>15.11321</v>
      </c>
      <c r="D2043" t="s">
        <v>5789</v>
      </c>
      <c r="E2043" t="s">
        <v>6702</v>
      </c>
      <c r="F2043" t="s">
        <v>7210</v>
      </c>
      <c r="G2043" t="s">
        <v>7824</v>
      </c>
      <c r="H2043" s="214">
        <v>405.6576</v>
      </c>
      <c r="I2043" s="425">
        <v>15.11321</v>
      </c>
      <c r="J2043" s="91">
        <v>55.32</v>
      </c>
      <c r="K2043" s="425">
        <v>4596.2154600000003</v>
      </c>
      <c r="L2043" s="542" t="s">
        <v>621</v>
      </c>
    </row>
    <row r="2044" spans="1:12" ht="15">
      <c r="A2044">
        <v>461932</v>
      </c>
      <c r="B2044" t="str">
        <f t="shared" si="86"/>
        <v>SEVROLL Elegant spodné vedenie 3m oliva new</v>
      </c>
      <c r="C2044" s="209">
        <f t="shared" si="87"/>
        <v>19.307300000000001</v>
      </c>
      <c r="D2044" t="s">
        <v>5790</v>
      </c>
      <c r="E2044" t="s">
        <v>6703</v>
      </c>
      <c r="F2044" t="s">
        <v>7211</v>
      </c>
      <c r="G2044" t="s">
        <v>7825</v>
      </c>
      <c r="H2044" s="214">
        <v>518.10303999999996</v>
      </c>
      <c r="I2044" s="425">
        <v>19.307300000000001</v>
      </c>
      <c r="J2044" s="91">
        <v>70.66</v>
      </c>
      <c r="K2044" s="425">
        <v>5870.2541499999998</v>
      </c>
      <c r="L2044" s="542" t="s">
        <v>621</v>
      </c>
    </row>
    <row r="2045" spans="1:12" ht="15">
      <c r="A2045">
        <v>461933</v>
      </c>
      <c r="B2045" t="str">
        <f t="shared" si="86"/>
        <v>SEVROLL Elegant spodné vedenie 4,05m oliva new</v>
      </c>
      <c r="C2045" s="209">
        <f t="shared" si="87"/>
        <v>26.032319999999999</v>
      </c>
      <c r="D2045" t="s">
        <v>5791</v>
      </c>
      <c r="E2045" t="s">
        <v>6704</v>
      </c>
      <c r="F2045" t="s">
        <v>7212</v>
      </c>
      <c r="G2045" t="s">
        <v>7826</v>
      </c>
      <c r="H2045" s="214">
        <v>698.86976000000004</v>
      </c>
      <c r="I2045" s="425">
        <v>26.032319999999999</v>
      </c>
      <c r="J2045" s="91">
        <v>95.4</v>
      </c>
      <c r="K2045" s="425">
        <v>7918.3922599999996</v>
      </c>
      <c r="L2045" s="542" t="s">
        <v>621</v>
      </c>
    </row>
    <row r="2046" spans="1:12" ht="15">
      <c r="A2046">
        <v>461934</v>
      </c>
      <c r="B2046" t="str">
        <f t="shared" si="86"/>
        <v>SEVROLL profil "U" pre DTD 16mm 3m oliva new</v>
      </c>
      <c r="C2046" s="209">
        <f t="shared" si="87"/>
        <v>7.3999300000000003</v>
      </c>
      <c r="D2046" t="s">
        <v>5792</v>
      </c>
      <c r="E2046" t="s">
        <v>6705</v>
      </c>
      <c r="F2046" t="s">
        <v>7213</v>
      </c>
      <c r="G2046" t="s">
        <v>7827</v>
      </c>
      <c r="H2046" s="214">
        <v>212.79231999999999</v>
      </c>
      <c r="I2046" s="425">
        <v>7.3999300000000003</v>
      </c>
      <c r="J2046" s="91">
        <v>27.005140000000001</v>
      </c>
      <c r="K2046" s="425">
        <v>2410.9972299999999</v>
      </c>
      <c r="L2046" s="542" t="s">
        <v>620</v>
      </c>
    </row>
    <row r="2047" spans="1:12" ht="15">
      <c r="A2047">
        <v>461935</v>
      </c>
      <c r="B2047" t="str">
        <f t="shared" si="86"/>
        <v>SEVROLL SPOJOVACia LIŠTA H04 3M oliva new</v>
      </c>
      <c r="C2047" s="209">
        <f t="shared" si="87"/>
        <v>9.9549500000000002</v>
      </c>
      <c r="D2047" t="s">
        <v>5793</v>
      </c>
      <c r="E2047" t="s">
        <v>6706</v>
      </c>
      <c r="F2047" t="s">
        <v>7214</v>
      </c>
      <c r="G2047" t="s">
        <v>7828</v>
      </c>
      <c r="H2047" s="214">
        <v>286.80703999999997</v>
      </c>
      <c r="I2047" s="425">
        <v>9.9549500000000002</v>
      </c>
      <c r="J2047" s="91">
        <v>33.524679999999996</v>
      </c>
      <c r="K2047" s="425">
        <v>3249.6049699999999</v>
      </c>
      <c r="L2047" s="542" t="s">
        <v>621</v>
      </c>
    </row>
    <row r="2048" spans="1:12" ht="15">
      <c r="A2048">
        <v>461936</v>
      </c>
      <c r="B2048" t="str">
        <f t="shared" si="86"/>
        <v>SEVROLL Gemini horné vedenie 6m oliva new</v>
      </c>
      <c r="C2048" s="209">
        <f t="shared" si="87"/>
        <v>66.020859999999999</v>
      </c>
      <c r="D2048" t="s">
        <v>5794</v>
      </c>
      <c r="E2048" t="s">
        <v>6707</v>
      </c>
      <c r="F2048" t="s">
        <v>7215</v>
      </c>
      <c r="G2048" t="s">
        <v>7829</v>
      </c>
      <c r="H2048" s="214">
        <v>1695.2217599999999</v>
      </c>
      <c r="I2048" s="425">
        <v>66.020859999999999</v>
      </c>
      <c r="J2048" s="91">
        <v>219.02</v>
      </c>
      <c r="K2048" s="425">
        <v>19207.342540000001</v>
      </c>
      <c r="L2048" s="542" t="s">
        <v>621</v>
      </c>
    </row>
    <row r="2049" spans="1:12" ht="15">
      <c r="A2049">
        <v>461937</v>
      </c>
      <c r="B2049" t="str">
        <f t="shared" si="86"/>
        <v>SEVROLL okrasná lišta S20 3m oliva new</v>
      </c>
      <c r="C2049" s="209">
        <f t="shared" si="87"/>
        <v>7.5927600000000002</v>
      </c>
      <c r="D2049" t="s">
        <v>5795</v>
      </c>
      <c r="E2049" t="s">
        <v>6708</v>
      </c>
      <c r="F2049" t="s">
        <v>7216</v>
      </c>
      <c r="G2049" t="s">
        <v>7830</v>
      </c>
      <c r="H2049" s="214">
        <v>219.19744</v>
      </c>
      <c r="I2049" s="425">
        <v>7.5927600000000002</v>
      </c>
      <c r="J2049" s="91">
        <v>25.621839999999999</v>
      </c>
      <c r="K2049" s="425">
        <v>2483.5690500000001</v>
      </c>
      <c r="L2049" s="542" t="s">
        <v>621</v>
      </c>
    </row>
    <row r="2050" spans="1:12" ht="15">
      <c r="A2050">
        <v>461938</v>
      </c>
      <c r="B2050" t="str">
        <f t="shared" si="86"/>
        <v>SEVROLL okrasná lišta S10 3m oliva new</v>
      </c>
      <c r="C2050" s="209">
        <f t="shared" si="87"/>
        <v>4.6279700000000004</v>
      </c>
      <c r="D2050" t="s">
        <v>5796</v>
      </c>
      <c r="E2050" t="s">
        <v>6709</v>
      </c>
      <c r="F2050" t="s">
        <v>7217</v>
      </c>
      <c r="G2050" t="s">
        <v>7831</v>
      </c>
      <c r="H2050" s="214">
        <v>133.08416</v>
      </c>
      <c r="I2050" s="425">
        <v>4.6279700000000004</v>
      </c>
      <c r="J2050" s="91">
        <v>15.55612</v>
      </c>
      <c r="K2050" s="425">
        <v>1507.88121</v>
      </c>
      <c r="L2050" s="542" t="s">
        <v>621</v>
      </c>
    </row>
    <row r="2051" spans="1:12" ht="15">
      <c r="A2051">
        <v>461939</v>
      </c>
      <c r="B2051" t="str">
        <f t="shared" si="86"/>
        <v>SEVROLL Julia II úch.lišta 2,7m oliva new</v>
      </c>
      <c r="C2051" s="209">
        <f t="shared" si="87"/>
        <v>20.657129999999999</v>
      </c>
      <c r="D2051" t="s">
        <v>5797</v>
      </c>
      <c r="E2051" t="s">
        <v>6710</v>
      </c>
      <c r="F2051" t="s">
        <v>7218</v>
      </c>
      <c r="G2051" t="s">
        <v>7832</v>
      </c>
      <c r="H2051" s="214">
        <v>554.39872000000003</v>
      </c>
      <c r="I2051" s="425">
        <v>20.657129999999999</v>
      </c>
      <c r="J2051" s="91">
        <v>73.989999999999995</v>
      </c>
      <c r="K2051" s="425">
        <v>6281.49449</v>
      </c>
      <c r="L2051" s="542" t="s">
        <v>621</v>
      </c>
    </row>
    <row r="2052" spans="1:12" ht="15">
      <c r="A2052">
        <v>461940</v>
      </c>
      <c r="B2052" t="str">
        <f t="shared" si="86"/>
        <v>SEVROLL Romeo II úch.lišta 2,7m oliva new</v>
      </c>
      <c r="C2052" s="209">
        <f t="shared" si="87"/>
        <v>20.657129999999999</v>
      </c>
      <c r="D2052" t="s">
        <v>5798</v>
      </c>
      <c r="E2052" t="s">
        <v>6711</v>
      </c>
      <c r="F2052" t="s">
        <v>7219</v>
      </c>
      <c r="G2052" t="s">
        <v>7833</v>
      </c>
      <c r="H2052" s="214">
        <v>554.39872000000003</v>
      </c>
      <c r="I2052" s="425">
        <v>20.657129999999999</v>
      </c>
      <c r="J2052" s="91">
        <v>67.266149999999996</v>
      </c>
      <c r="K2052" s="425">
        <v>6281.49449</v>
      </c>
      <c r="L2052" s="542" t="s">
        <v>621</v>
      </c>
    </row>
    <row r="2053" spans="1:12" ht="15">
      <c r="A2053">
        <v>461941</v>
      </c>
      <c r="B2053" t="str">
        <f t="shared" si="86"/>
        <v>SEVROLL FACTOR 18 II-UCH.LIŠTA oliva new 2,7m</v>
      </c>
      <c r="C2053" s="209">
        <f t="shared" si="87"/>
        <v>11.702489999999999</v>
      </c>
      <c r="D2053" t="s">
        <v>5799</v>
      </c>
      <c r="E2053" t="s">
        <v>6712</v>
      </c>
      <c r="F2053" t="s">
        <v>7220</v>
      </c>
      <c r="G2053" t="s">
        <v>7834</v>
      </c>
      <c r="H2053" s="214">
        <v>336.98048</v>
      </c>
      <c r="I2053" s="425">
        <v>11.702489999999999</v>
      </c>
      <c r="J2053" s="91">
        <v>74.413849999999996</v>
      </c>
      <c r="K2053" s="425">
        <v>3818.0842600000001</v>
      </c>
      <c r="L2053" s="542" t="s">
        <v>621</v>
      </c>
    </row>
    <row r="2054" spans="1:12" ht="15">
      <c r="A2054">
        <v>461942</v>
      </c>
      <c r="B2054" t="str">
        <f t="shared" ref="B2054:B2117" si="88">IF($A$2=1,D2054,IF($A$2=2,F2054,IF($A$2=3,G2054,IF($A$2=4,E2054,"zadat jazyk"))))</f>
        <v>SEVROLL Factor 16 II-úchyt.lišta oliva new 2,7m</v>
      </c>
      <c r="C2054" s="209">
        <f t="shared" ref="C2054:C2117" si="89">IF($A$2=1,H2054,IF($A$2=2,I2054,IF($A$2=3,J2054,IF($A$2=4,K2054,"zadat jazyk"))))</f>
        <v>11.702489999999999</v>
      </c>
      <c r="D2054" t="s">
        <v>5800</v>
      </c>
      <c r="E2054" t="s">
        <v>6713</v>
      </c>
      <c r="F2054" t="s">
        <v>7221</v>
      </c>
      <c r="G2054" t="s">
        <v>7835</v>
      </c>
      <c r="H2054" s="214">
        <v>336.98048</v>
      </c>
      <c r="I2054" s="425">
        <v>11.702489999999999</v>
      </c>
      <c r="J2054" s="91">
        <v>74.413849999999996</v>
      </c>
      <c r="K2054" s="425">
        <v>3818.0842600000001</v>
      </c>
      <c r="L2054" s="542" t="s">
        <v>622</v>
      </c>
    </row>
    <row r="2055" spans="1:12" ht="15">
      <c r="A2055">
        <v>461943</v>
      </c>
      <c r="B2055" t="str">
        <f t="shared" si="88"/>
        <v>SEVROLL Victoria II úch.liš. 18mm 2,7m oliva new</v>
      </c>
      <c r="C2055" s="209">
        <f t="shared" si="89"/>
        <v>20.500450000000001</v>
      </c>
      <c r="D2055" t="s">
        <v>5801</v>
      </c>
      <c r="E2055" t="s">
        <v>6714</v>
      </c>
      <c r="F2055" t="s">
        <v>7222</v>
      </c>
      <c r="G2055" t="s">
        <v>7836</v>
      </c>
      <c r="H2055" s="214">
        <v>550.12864000000002</v>
      </c>
      <c r="I2055" s="425">
        <v>20.500450000000001</v>
      </c>
      <c r="J2055" s="91">
        <v>64.304150000000007</v>
      </c>
      <c r="K2055" s="425">
        <v>6233.1132600000001</v>
      </c>
      <c r="L2055" s="542" t="s">
        <v>621</v>
      </c>
    </row>
    <row r="2056" spans="1:12" ht="15">
      <c r="A2056">
        <v>461944</v>
      </c>
      <c r="B2056" t="str">
        <f t="shared" si="88"/>
        <v>SEVROLL Minicomfort II úchytová lišta 2,7m oliva new</v>
      </c>
      <c r="C2056" s="209">
        <f t="shared" si="89"/>
        <v>19.620660000000001</v>
      </c>
      <c r="D2056" t="s">
        <v>5802</v>
      </c>
      <c r="E2056" t="s">
        <v>6715</v>
      </c>
      <c r="F2056" t="s">
        <v>7223</v>
      </c>
      <c r="G2056" t="s">
        <v>7837</v>
      </c>
      <c r="H2056" s="214">
        <v>526.64319999999998</v>
      </c>
      <c r="I2056" s="425">
        <v>19.620660000000001</v>
      </c>
      <c r="J2056" s="91">
        <v>66.835449999999994</v>
      </c>
      <c r="K2056" s="425">
        <v>5967.0165699999998</v>
      </c>
      <c r="L2056" s="542" t="s">
        <v>622</v>
      </c>
    </row>
    <row r="2057" spans="1:12" ht="15">
      <c r="A2057">
        <v>461945</v>
      </c>
      <c r="B2057" t="str">
        <f t="shared" si="88"/>
        <v>SEVROLL Comfor 18 II úchytová lišta 2,7m oliva new</v>
      </c>
      <c r="C2057" s="209">
        <f t="shared" si="89"/>
        <v>28.20168</v>
      </c>
      <c r="D2057" t="s">
        <v>5803</v>
      </c>
      <c r="E2057" t="s">
        <v>6716</v>
      </c>
      <c r="F2057" t="s">
        <v>7224</v>
      </c>
      <c r="G2057" t="s">
        <v>7838</v>
      </c>
      <c r="H2057" s="214">
        <v>757.22752000000003</v>
      </c>
      <c r="I2057" s="425">
        <v>28.20168</v>
      </c>
      <c r="J2057" s="91">
        <v>96.098519999999994</v>
      </c>
      <c r="K2057" s="425">
        <v>8579.6022099999991</v>
      </c>
      <c r="L2057" s="542" t="s">
        <v>622</v>
      </c>
    </row>
    <row r="2058" spans="1:12" ht="15">
      <c r="A2058">
        <v>461946</v>
      </c>
      <c r="B2058" t="str">
        <f t="shared" si="88"/>
        <v>SEVROLL Unicomfort II úchytová lišta 2,7m oliva new</v>
      </c>
      <c r="C2058" s="209">
        <f t="shared" si="89"/>
        <v>28.346299999999999</v>
      </c>
      <c r="D2058" t="s">
        <v>5804</v>
      </c>
      <c r="E2058" t="s">
        <v>6717</v>
      </c>
      <c r="F2058" t="s">
        <v>7225</v>
      </c>
      <c r="G2058" t="s">
        <v>7839</v>
      </c>
      <c r="H2058" s="214">
        <v>816.29696000000001</v>
      </c>
      <c r="I2058" s="425">
        <v>28.346299999999999</v>
      </c>
      <c r="J2058" s="91">
        <v>103.59493999999999</v>
      </c>
      <c r="K2058" s="425">
        <v>9248.8756900000008</v>
      </c>
      <c r="L2058" s="542" t="s">
        <v>622</v>
      </c>
    </row>
    <row r="2059" spans="1:12" ht="15">
      <c r="A2059">
        <v>461947</v>
      </c>
      <c r="B2059" t="str">
        <f t="shared" si="88"/>
        <v>SEVROLL Faworyt II úchytová lišta 2,7m oliva new</v>
      </c>
      <c r="C2059" s="209">
        <f t="shared" si="89"/>
        <v>14.92038</v>
      </c>
      <c r="D2059" t="s">
        <v>5805</v>
      </c>
      <c r="E2059" t="s">
        <v>6718</v>
      </c>
      <c r="F2059" t="s">
        <v>7226</v>
      </c>
      <c r="G2059" t="s">
        <v>7840</v>
      </c>
      <c r="H2059" s="214">
        <v>400.67583999999999</v>
      </c>
      <c r="I2059" s="425">
        <v>14.92038</v>
      </c>
      <c r="J2059" s="91">
        <v>50.849130000000002</v>
      </c>
      <c r="K2059" s="425">
        <v>4539.7707200000004</v>
      </c>
      <c r="L2059" s="542" t="s">
        <v>622</v>
      </c>
    </row>
    <row r="2060" spans="1:12" ht="15">
      <c r="A2060">
        <v>461948</v>
      </c>
      <c r="B2060" t="str">
        <f t="shared" si="88"/>
        <v>SEVROLL Comfor 16 II úch.lišta 2,7m oliva new</v>
      </c>
      <c r="C2060" s="209">
        <f t="shared" si="89"/>
        <v>28.20168</v>
      </c>
      <c r="D2060" t="s">
        <v>5806</v>
      </c>
      <c r="E2060" t="s">
        <v>6719</v>
      </c>
      <c r="F2060" t="s">
        <v>7227</v>
      </c>
      <c r="G2060" t="s">
        <v>7841</v>
      </c>
      <c r="H2060" s="214">
        <v>757.22752000000003</v>
      </c>
      <c r="I2060" s="425">
        <v>28.20168</v>
      </c>
      <c r="J2060" s="91">
        <v>96.098519999999994</v>
      </c>
      <c r="K2060" s="425">
        <v>8579.6022099999991</v>
      </c>
      <c r="L2060" s="542" t="s">
        <v>622</v>
      </c>
    </row>
    <row r="2061" spans="1:12" ht="15">
      <c r="A2061">
        <v>461949</v>
      </c>
      <c r="B2061" t="str">
        <f t="shared" si="88"/>
        <v>SEVROLL ERGO UCH.LIŠTA.2,70m oliva new</v>
      </c>
      <c r="C2061" s="209">
        <f t="shared" si="89"/>
        <v>9.7139100000000003</v>
      </c>
      <c r="D2061" t="s">
        <v>5807</v>
      </c>
      <c r="E2061" t="s">
        <v>6720</v>
      </c>
      <c r="F2061" t="s">
        <v>7228</v>
      </c>
      <c r="G2061" t="s">
        <v>7842</v>
      </c>
      <c r="H2061" s="214">
        <v>260.47487999999998</v>
      </c>
      <c r="I2061" s="425">
        <v>9.7139100000000003</v>
      </c>
      <c r="J2061" s="91">
        <v>30.446729999999999</v>
      </c>
      <c r="K2061" s="425">
        <v>2951.2541500000002</v>
      </c>
      <c r="L2061" s="542" t="s">
        <v>621</v>
      </c>
    </row>
    <row r="2062" spans="1:12" ht="15">
      <c r="A2062">
        <v>461950</v>
      </c>
      <c r="B2062" t="str">
        <f t="shared" si="88"/>
        <v>SEVROLL FIRST HOR/SPOD VED. 1,8 M oliva new</v>
      </c>
      <c r="C2062" s="209">
        <f t="shared" si="89"/>
        <v>8.1471499999999999</v>
      </c>
      <c r="D2062" t="s">
        <v>5808</v>
      </c>
      <c r="E2062" t="s">
        <v>6721</v>
      </c>
      <c r="F2062" t="s">
        <v>7229</v>
      </c>
      <c r="G2062" t="s">
        <v>7843</v>
      </c>
      <c r="H2062" s="214">
        <v>218.48576</v>
      </c>
      <c r="I2062" s="425">
        <v>8.1471499999999999</v>
      </c>
      <c r="J2062" s="91">
        <v>30.377690000000001</v>
      </c>
      <c r="K2062" s="425">
        <v>2475.5055400000001</v>
      </c>
      <c r="L2062" s="542" t="s">
        <v>622</v>
      </c>
    </row>
    <row r="2063" spans="1:12" ht="15">
      <c r="A2063">
        <v>461951</v>
      </c>
      <c r="B2063" t="str">
        <f t="shared" si="88"/>
        <v>SEVROLL SPOD.VED. DOUBLER II 1,7M oliva new</v>
      </c>
      <c r="C2063" s="209">
        <f t="shared" si="89"/>
        <v>17.4754</v>
      </c>
      <c r="D2063" t="s">
        <v>5809</v>
      </c>
      <c r="E2063" t="s">
        <v>6722</v>
      </c>
      <c r="F2063" t="s">
        <v>7230</v>
      </c>
      <c r="G2063" t="s">
        <v>7844</v>
      </c>
      <c r="H2063" s="214">
        <v>468.99712</v>
      </c>
      <c r="I2063" s="425">
        <v>17.4754</v>
      </c>
      <c r="J2063" s="91">
        <v>59.519669999999998</v>
      </c>
      <c r="K2063" s="425">
        <v>5313.8701799999999</v>
      </c>
      <c r="L2063" s="542" t="s">
        <v>622</v>
      </c>
    </row>
    <row r="2064" spans="1:12" ht="15">
      <c r="A2064">
        <v>461952</v>
      </c>
      <c r="B2064" t="str">
        <f t="shared" si="88"/>
        <v>SEVROLL SPOD.VED. DOUBLER II 2,35M oliva new</v>
      </c>
      <c r="C2064" s="209">
        <f t="shared" si="89"/>
        <v>24.1281</v>
      </c>
      <c r="D2064" t="s">
        <v>5810</v>
      </c>
      <c r="E2064" t="s">
        <v>6723</v>
      </c>
      <c r="F2064" t="s">
        <v>7231</v>
      </c>
      <c r="G2064" t="s">
        <v>7845</v>
      </c>
      <c r="H2064" s="214">
        <v>647.62879999999996</v>
      </c>
      <c r="I2064" s="425">
        <v>24.1281</v>
      </c>
      <c r="J2064" s="91">
        <v>82.189539999999994</v>
      </c>
      <c r="K2064" s="425">
        <v>7337.8176899999999</v>
      </c>
      <c r="L2064" s="542" t="s">
        <v>622</v>
      </c>
    </row>
    <row r="2065" spans="1:12" ht="15">
      <c r="A2065">
        <v>461953</v>
      </c>
      <c r="B2065" t="str">
        <f t="shared" si="88"/>
        <v>SEVROLL SPOD.VED. DOUBLER II 3M oliva new</v>
      </c>
      <c r="C2065" s="209">
        <f t="shared" si="89"/>
        <v>30.780809999999999</v>
      </c>
      <c r="D2065" t="s">
        <v>5811</v>
      </c>
      <c r="E2065" t="s">
        <v>6724</v>
      </c>
      <c r="F2065" t="s">
        <v>7232</v>
      </c>
      <c r="G2065" t="s">
        <v>7846</v>
      </c>
      <c r="H2065" s="214">
        <v>826.26048000000003</v>
      </c>
      <c r="I2065" s="425">
        <v>30.780809999999999</v>
      </c>
      <c r="J2065" s="91">
        <v>104.85939</v>
      </c>
      <c r="K2065" s="425">
        <v>9361.7651999999998</v>
      </c>
      <c r="L2065" s="542" t="s">
        <v>622</v>
      </c>
    </row>
    <row r="2066" spans="1:12" ht="15">
      <c r="A2066">
        <v>461954</v>
      </c>
      <c r="B2066" t="str">
        <f t="shared" si="88"/>
        <v>SEVROLL SPOD.VED. DOUBLER II 4,05M oliva new</v>
      </c>
      <c r="C2066" s="209">
        <f t="shared" si="89"/>
        <v>41.5794</v>
      </c>
      <c r="D2066" t="s">
        <v>5812</v>
      </c>
      <c r="E2066" t="s">
        <v>6725</v>
      </c>
      <c r="F2066" t="s">
        <v>7233</v>
      </c>
      <c r="G2066" t="s">
        <v>7847</v>
      </c>
      <c r="H2066" s="214">
        <v>1115.9142400000001</v>
      </c>
      <c r="I2066" s="425">
        <v>41.5794</v>
      </c>
      <c r="J2066" s="91">
        <v>141.61888999999999</v>
      </c>
      <c r="K2066" s="425">
        <v>12643.624309999999</v>
      </c>
      <c r="L2066" s="542" t="s">
        <v>622</v>
      </c>
    </row>
    <row r="2067" spans="1:12" ht="15">
      <c r="A2067">
        <v>461955</v>
      </c>
      <c r="B2067" t="str">
        <f t="shared" si="88"/>
        <v>SEVROLL SPOD.VED. DOUBLER II 6M oliva new</v>
      </c>
      <c r="C2067" s="209">
        <f t="shared" si="89"/>
        <v>61.585720000000002</v>
      </c>
      <c r="D2067" t="s">
        <v>5813</v>
      </c>
      <c r="E2067" t="s">
        <v>6726</v>
      </c>
      <c r="F2067" t="s">
        <v>7234</v>
      </c>
      <c r="G2067" t="s">
        <v>7848</v>
      </c>
      <c r="H2067" s="214">
        <v>1653.2326399999999</v>
      </c>
      <c r="I2067" s="425">
        <v>61.585720000000002</v>
      </c>
      <c r="J2067" s="91">
        <v>209.8091</v>
      </c>
      <c r="K2067" s="425">
        <v>18731.593919999999</v>
      </c>
      <c r="L2067" s="542" t="s">
        <v>622</v>
      </c>
    </row>
    <row r="2068" spans="1:12" ht="15">
      <c r="A2068">
        <v>461956</v>
      </c>
      <c r="B2068" t="str">
        <f t="shared" si="88"/>
        <v>SEVROLL MASKA DOUBLER II 1,7 M oliva new</v>
      </c>
      <c r="C2068" s="209">
        <f t="shared" si="89"/>
        <v>5.6885399999999997</v>
      </c>
      <c r="D2068" t="s">
        <v>5814</v>
      </c>
      <c r="E2068" t="s">
        <v>6727</v>
      </c>
      <c r="F2068" t="s">
        <v>7235</v>
      </c>
      <c r="G2068" t="s">
        <v>7849</v>
      </c>
      <c r="H2068" s="214">
        <v>163.68639999999999</v>
      </c>
      <c r="I2068" s="425">
        <v>5.6885399999999997</v>
      </c>
      <c r="J2068" s="91">
        <v>20.77318</v>
      </c>
      <c r="K2068" s="425">
        <v>1854.6132600000001</v>
      </c>
      <c r="L2068" s="542" t="s">
        <v>622</v>
      </c>
    </row>
    <row r="2069" spans="1:12" ht="15">
      <c r="A2069">
        <v>461957</v>
      </c>
      <c r="B2069" t="str">
        <f t="shared" si="88"/>
        <v>SEVROLL MASKA DOUBLER II 2,35 M oliva new</v>
      </c>
      <c r="C2069" s="209">
        <f t="shared" si="89"/>
        <v>7.8578999999999999</v>
      </c>
      <c r="D2069" t="s">
        <v>5815</v>
      </c>
      <c r="E2069" t="s">
        <v>6728</v>
      </c>
      <c r="F2069" t="s">
        <v>7236</v>
      </c>
      <c r="G2069" t="s">
        <v>7850</v>
      </c>
      <c r="H2069" s="214">
        <v>226.31424000000001</v>
      </c>
      <c r="I2069" s="425">
        <v>7.8578999999999999</v>
      </c>
      <c r="J2069" s="91">
        <v>28.72118</v>
      </c>
      <c r="K2069" s="425">
        <v>2564.2044099999998</v>
      </c>
      <c r="L2069" s="542" t="s">
        <v>622</v>
      </c>
    </row>
    <row r="2070" spans="1:12" ht="15">
      <c r="A2070">
        <v>461958</v>
      </c>
      <c r="B2070" t="str">
        <f t="shared" si="88"/>
        <v>SEVROLL MASKA DOUBLER II 3 M oliva new</v>
      </c>
      <c r="C2070" s="209">
        <f t="shared" si="89"/>
        <v>10.05137</v>
      </c>
      <c r="D2070" t="s">
        <v>5816</v>
      </c>
      <c r="E2070" t="s">
        <v>6729</v>
      </c>
      <c r="F2070" t="s">
        <v>7237</v>
      </c>
      <c r="G2070" t="s">
        <v>7851</v>
      </c>
      <c r="H2070" s="214">
        <v>288.94207999999998</v>
      </c>
      <c r="I2070" s="425">
        <v>10.05137</v>
      </c>
      <c r="J2070" s="91">
        <v>36.669179999999997</v>
      </c>
      <c r="K2070" s="425">
        <v>3273.7955900000002</v>
      </c>
      <c r="L2070" s="542" t="s">
        <v>622</v>
      </c>
    </row>
    <row r="2071" spans="1:12" ht="15">
      <c r="A2071">
        <v>461959</v>
      </c>
      <c r="B2071" t="str">
        <f t="shared" si="88"/>
        <v>SEVROLL MASKA DOUBLER II 4,05 M oliva new</v>
      </c>
      <c r="C2071" s="209">
        <f t="shared" si="89"/>
        <v>13.570550000000001</v>
      </c>
      <c r="D2071" t="s">
        <v>5817</v>
      </c>
      <c r="E2071" t="s">
        <v>6730</v>
      </c>
      <c r="F2071" t="s">
        <v>7238</v>
      </c>
      <c r="G2071" t="s">
        <v>7852</v>
      </c>
      <c r="H2071" s="214">
        <v>390.71231999999998</v>
      </c>
      <c r="I2071" s="425">
        <v>13.570550000000001</v>
      </c>
      <c r="J2071" s="91">
        <v>49.584679999999999</v>
      </c>
      <c r="K2071" s="425">
        <v>4426.8812099999996</v>
      </c>
      <c r="L2071" s="542" t="s">
        <v>622</v>
      </c>
    </row>
    <row r="2072" spans="1:12" ht="15">
      <c r="A2072">
        <v>461960</v>
      </c>
      <c r="B2072" t="str">
        <f t="shared" si="88"/>
        <v>SEVROLL MASKA DOUBLER II 6 M oliva new</v>
      </c>
      <c r="C2072" s="209">
        <f t="shared" si="89"/>
        <v>20.05453</v>
      </c>
      <c r="D2072" t="s">
        <v>5818</v>
      </c>
      <c r="E2072" t="s">
        <v>6731</v>
      </c>
      <c r="F2072" t="s">
        <v>7239</v>
      </c>
      <c r="G2072" t="s">
        <v>7853</v>
      </c>
      <c r="H2072" s="214">
        <v>577.88415999999995</v>
      </c>
      <c r="I2072" s="425">
        <v>20.05453</v>
      </c>
      <c r="J2072" s="91">
        <v>73.338350000000005</v>
      </c>
      <c r="K2072" s="425">
        <v>6547.5911599999999</v>
      </c>
      <c r="L2072" s="542" t="s">
        <v>622</v>
      </c>
    </row>
    <row r="2073" spans="1:12" ht="15">
      <c r="A2073">
        <v>461961</v>
      </c>
      <c r="B2073" t="str">
        <f t="shared" si="88"/>
        <v>SEVROLL Future II úchytová lišta 3,5m oliva new</v>
      </c>
      <c r="C2073" s="209">
        <f t="shared" si="89"/>
        <v>45.387830000000001</v>
      </c>
      <c r="D2073" t="s">
        <v>5819</v>
      </c>
      <c r="E2073" t="s">
        <v>6732</v>
      </c>
      <c r="F2073" t="s">
        <v>7240</v>
      </c>
      <c r="G2073" t="s">
        <v>7854</v>
      </c>
      <c r="H2073" s="214">
        <v>1218.39616</v>
      </c>
      <c r="I2073" s="425">
        <v>45.387830000000001</v>
      </c>
      <c r="J2073" s="91">
        <v>158.52307999999999</v>
      </c>
      <c r="K2073" s="425">
        <v>13804.77349</v>
      </c>
      <c r="L2073" s="542" t="s">
        <v>622</v>
      </c>
    </row>
    <row r="2074" spans="1:12" ht="15">
      <c r="A2074">
        <v>461962</v>
      </c>
      <c r="B2074" t="str">
        <f t="shared" si="88"/>
        <v>SEVROLL Future II úchytová lišta 2,7m oliva new</v>
      </c>
      <c r="C2074" s="209">
        <f t="shared" si="89"/>
        <v>35.023110000000003</v>
      </c>
      <c r="D2074" t="s">
        <v>5820</v>
      </c>
      <c r="E2074" t="s">
        <v>6733</v>
      </c>
      <c r="F2074" t="s">
        <v>7241</v>
      </c>
      <c r="G2074" t="s">
        <v>7855</v>
      </c>
      <c r="H2074" s="214">
        <v>940.12927999999999</v>
      </c>
      <c r="I2074" s="425">
        <v>35.023110000000003</v>
      </c>
      <c r="J2074" s="91">
        <v>122.30692000000001</v>
      </c>
      <c r="K2074" s="425">
        <v>10651.93095</v>
      </c>
      <c r="L2074" s="542" t="s">
        <v>622</v>
      </c>
    </row>
    <row r="2075" spans="1:12" ht="15">
      <c r="A2075">
        <v>461963</v>
      </c>
      <c r="B2075" t="str">
        <f t="shared" si="88"/>
        <v>SEVROLL FIRST HOR/SPOD VED. 3 M oliva new</v>
      </c>
      <c r="C2075" s="209">
        <f t="shared" si="89"/>
        <v>13.498239999999999</v>
      </c>
      <c r="D2075" t="s">
        <v>5821</v>
      </c>
      <c r="E2075" t="s">
        <v>6734</v>
      </c>
      <c r="F2075" t="s">
        <v>7242</v>
      </c>
      <c r="G2075" t="s">
        <v>7856</v>
      </c>
      <c r="H2075" s="214">
        <v>362.24511999999999</v>
      </c>
      <c r="I2075" s="425">
        <v>13.498239999999999</v>
      </c>
      <c r="J2075" s="91">
        <v>50.6</v>
      </c>
      <c r="K2075" s="425">
        <v>4104.3397699999996</v>
      </c>
      <c r="L2075" s="542" t="s">
        <v>622</v>
      </c>
    </row>
    <row r="2076" spans="1:12" ht="15">
      <c r="A2076">
        <v>461964</v>
      </c>
      <c r="B2076" t="str">
        <f t="shared" si="88"/>
        <v>SEVROLL Micra horné/spodné vedenie 1,7m oliva new</v>
      </c>
      <c r="C2076" s="209">
        <f t="shared" si="89"/>
        <v>4.0012600000000003</v>
      </c>
      <c r="D2076" t="s">
        <v>5822</v>
      </c>
      <c r="E2076" t="s">
        <v>6735</v>
      </c>
      <c r="F2076" t="s">
        <v>7243</v>
      </c>
      <c r="G2076" t="s">
        <v>7857</v>
      </c>
      <c r="H2076" s="214">
        <v>110.3104</v>
      </c>
      <c r="I2076" s="425">
        <v>4.0012600000000003</v>
      </c>
      <c r="J2076" s="91">
        <v>13.999309999999999</v>
      </c>
      <c r="K2076" s="425">
        <v>1249.84808</v>
      </c>
      <c r="L2076" s="542" t="s">
        <v>622</v>
      </c>
    </row>
    <row r="2077" spans="1:12" ht="15">
      <c r="A2077">
        <v>461965</v>
      </c>
      <c r="B2077" t="str">
        <f t="shared" si="88"/>
        <v>SEVROLL Micra horné/spodné vedenie 2,35m oliva new</v>
      </c>
      <c r="C2077" s="209">
        <f t="shared" si="89"/>
        <v>5.54392</v>
      </c>
      <c r="D2077" t="s">
        <v>5823</v>
      </c>
      <c r="E2077" t="s">
        <v>6736</v>
      </c>
      <c r="F2077" t="s">
        <v>7244</v>
      </c>
      <c r="G2077" t="s">
        <v>7858</v>
      </c>
      <c r="H2077" s="214">
        <v>153.0112</v>
      </c>
      <c r="I2077" s="425">
        <v>5.54392</v>
      </c>
      <c r="J2077" s="91">
        <v>19.418399999999998</v>
      </c>
      <c r="K2077" s="425">
        <v>1733.66023</v>
      </c>
      <c r="L2077" s="542" t="s">
        <v>622</v>
      </c>
    </row>
    <row r="2078" spans="1:12" ht="15">
      <c r="A2078">
        <v>461966</v>
      </c>
      <c r="B2078" t="str">
        <f t="shared" si="88"/>
        <v>SEVROLL Top horné vedenie jednoduché 3m oliva new</v>
      </c>
      <c r="C2078" s="209">
        <f t="shared" si="89"/>
        <v>40.470619999999997</v>
      </c>
      <c r="D2078" t="s">
        <v>5824</v>
      </c>
      <c r="E2078" t="s">
        <v>6737</v>
      </c>
      <c r="F2078" t="s">
        <v>7245</v>
      </c>
      <c r="G2078" t="s">
        <v>7859</v>
      </c>
      <c r="H2078" s="214">
        <v>1165.02016</v>
      </c>
      <c r="I2078" s="425">
        <v>40.470619999999997</v>
      </c>
      <c r="J2078" s="91">
        <v>147.85084000000001</v>
      </c>
      <c r="K2078" s="425">
        <v>13200.00828</v>
      </c>
      <c r="L2078" s="542" t="s">
        <v>622</v>
      </c>
    </row>
    <row r="2079" spans="1:12" ht="15">
      <c r="A2079">
        <v>461967</v>
      </c>
      <c r="B2079" t="str">
        <f t="shared" si="88"/>
        <v>SEVROLL Top horné vedenie jednoduché 6m oliva new</v>
      </c>
      <c r="C2079" s="209">
        <f t="shared" si="89"/>
        <v>80.868920000000003</v>
      </c>
      <c r="D2079" t="s">
        <v>5825</v>
      </c>
      <c r="E2079" t="s">
        <v>6738</v>
      </c>
      <c r="F2079" t="s">
        <v>7246</v>
      </c>
      <c r="G2079" t="s">
        <v>7860</v>
      </c>
      <c r="H2079" s="214">
        <v>2330.0403200000001</v>
      </c>
      <c r="I2079" s="425">
        <v>80.868920000000003</v>
      </c>
      <c r="J2079" s="91">
        <v>295.70166999999998</v>
      </c>
      <c r="K2079" s="425">
        <v>26400.01657</v>
      </c>
      <c r="L2079" s="542" t="s">
        <v>622</v>
      </c>
    </row>
    <row r="2080" spans="1:12" ht="15">
      <c r="A2080">
        <v>461968</v>
      </c>
      <c r="B2080" t="str">
        <f t="shared" si="88"/>
        <v>SEVROLL Star úchytová lišta 2,7m oliva new</v>
      </c>
      <c r="C2080" s="209">
        <f t="shared" si="89"/>
        <v>31.238779999999998</v>
      </c>
      <c r="D2080" t="s">
        <v>5826</v>
      </c>
      <c r="E2080" t="s">
        <v>6739</v>
      </c>
      <c r="F2080" t="s">
        <v>7247</v>
      </c>
      <c r="G2080" t="s">
        <v>7861</v>
      </c>
      <c r="H2080" s="214">
        <v>950.09280000000001</v>
      </c>
      <c r="I2080" s="425">
        <v>31.238779999999998</v>
      </c>
      <c r="J2080" s="91">
        <v>120.57476</v>
      </c>
      <c r="K2080" s="425">
        <v>10764.82044</v>
      </c>
      <c r="L2080" s="542" t="s">
        <v>622</v>
      </c>
    </row>
    <row r="2081" spans="1:12" ht="15">
      <c r="A2081">
        <v>461969</v>
      </c>
      <c r="B2081" t="str">
        <f t="shared" si="88"/>
        <v>SEVROLL Beta 18 úchytová lišta 2,70m oliva new</v>
      </c>
      <c r="C2081" s="209">
        <f t="shared" si="89"/>
        <v>8.8702699999999997</v>
      </c>
      <c r="D2081" t="s">
        <v>5827</v>
      </c>
      <c r="E2081" t="s">
        <v>6740</v>
      </c>
      <c r="F2081" t="s">
        <v>7248</v>
      </c>
      <c r="G2081" t="s">
        <v>7862</v>
      </c>
      <c r="H2081" s="214">
        <v>224.17920000000001</v>
      </c>
      <c r="I2081" s="425">
        <v>8.8702699999999997</v>
      </c>
      <c r="J2081" s="91">
        <v>33.81</v>
      </c>
      <c r="K2081" s="425">
        <v>2540.0138200000001</v>
      </c>
      <c r="L2081" s="542" t="s">
        <v>622</v>
      </c>
    </row>
    <row r="2082" spans="1:12" ht="15">
      <c r="A2082">
        <v>461970</v>
      </c>
      <c r="B2082" t="str">
        <f t="shared" si="88"/>
        <v>SEVROLL Comfort spodné vedenie 1,7m oliva new</v>
      </c>
      <c r="C2082" s="209">
        <f t="shared" si="89"/>
        <v>15.691700000000001</v>
      </c>
      <c r="D2082" t="s">
        <v>5828</v>
      </c>
      <c r="E2082" t="s">
        <v>6741</v>
      </c>
      <c r="F2082" t="s">
        <v>7249</v>
      </c>
      <c r="G2082" t="s">
        <v>7863</v>
      </c>
      <c r="H2082" s="214">
        <v>421.31455999999997</v>
      </c>
      <c r="I2082" s="425">
        <v>15.691700000000001</v>
      </c>
      <c r="J2082" s="91">
        <v>58.632309999999997</v>
      </c>
      <c r="K2082" s="425">
        <v>4773.6132600000001</v>
      </c>
      <c r="L2082" s="542" t="s">
        <v>622</v>
      </c>
    </row>
    <row r="2083" spans="1:12" ht="15">
      <c r="A2083">
        <v>461971</v>
      </c>
      <c r="B2083" t="str">
        <f t="shared" si="88"/>
        <v>SEVROLL Comfort spodné vedenie 3m oliva new</v>
      </c>
      <c r="C2083" s="209">
        <f t="shared" si="89"/>
        <v>27.623180000000001</v>
      </c>
      <c r="D2083" t="s">
        <v>5829</v>
      </c>
      <c r="E2083" t="s">
        <v>6742</v>
      </c>
      <c r="F2083" t="s">
        <v>7250</v>
      </c>
      <c r="G2083" t="s">
        <v>7864</v>
      </c>
      <c r="H2083" s="214">
        <v>741.57056</v>
      </c>
      <c r="I2083" s="425">
        <v>27.623180000000001</v>
      </c>
      <c r="J2083" s="91">
        <v>103.44692000000001</v>
      </c>
      <c r="K2083" s="425">
        <v>8402.2044100000003</v>
      </c>
      <c r="L2083" s="542" t="s">
        <v>622</v>
      </c>
    </row>
    <row r="2084" spans="1:12" ht="15">
      <c r="A2084">
        <v>461972</v>
      </c>
      <c r="B2084" t="str">
        <f t="shared" si="88"/>
        <v>SEVROLL Alfa II úch.lišta 18mm 2,7m oliva new</v>
      </c>
      <c r="C2084" s="209">
        <f t="shared" si="89"/>
        <v>15.57118</v>
      </c>
      <c r="D2084" t="s">
        <v>5830</v>
      </c>
      <c r="E2084" t="s">
        <v>6743</v>
      </c>
      <c r="F2084" t="s">
        <v>7251</v>
      </c>
      <c r="G2084" t="s">
        <v>7865</v>
      </c>
      <c r="H2084" s="214">
        <v>403.52256</v>
      </c>
      <c r="I2084" s="425">
        <v>15.57118</v>
      </c>
      <c r="J2084" s="91">
        <v>51.38</v>
      </c>
      <c r="K2084" s="425">
        <v>4572.0248700000002</v>
      </c>
      <c r="L2084" s="542" t="s">
        <v>621</v>
      </c>
    </row>
    <row r="2085" spans="1:12" ht="15">
      <c r="A2085">
        <v>461973</v>
      </c>
      <c r="B2085" t="str">
        <f t="shared" si="88"/>
        <v>SEVROLL karat úchytová lišta 2,7m oliva new</v>
      </c>
      <c r="C2085" s="209">
        <f t="shared" si="89"/>
        <v>25.984110000000001</v>
      </c>
      <c r="D2085" t="s">
        <v>5831</v>
      </c>
      <c r="E2085" t="s">
        <v>6744</v>
      </c>
      <c r="F2085" t="s">
        <v>7252</v>
      </c>
      <c r="G2085" t="s">
        <v>7866</v>
      </c>
      <c r="H2085" s="214">
        <v>766.47936000000004</v>
      </c>
      <c r="I2085" s="425">
        <v>25.984110000000001</v>
      </c>
      <c r="J2085" s="91">
        <v>97.272670000000005</v>
      </c>
      <c r="K2085" s="425">
        <v>8684.4281800000008</v>
      </c>
      <c r="L2085" s="542" t="s">
        <v>622</v>
      </c>
    </row>
    <row r="2086" spans="1:12" ht="15">
      <c r="A2086">
        <v>461974</v>
      </c>
      <c r="B2086" t="str">
        <f t="shared" si="88"/>
        <v>SEVROLL spojovacia lišta H10 Decor 3m oliva new</v>
      </c>
      <c r="C2086" s="209">
        <f t="shared" si="89"/>
        <v>15.83633</v>
      </c>
      <c r="D2086" t="s">
        <v>5832</v>
      </c>
      <c r="E2086" t="s">
        <v>6745</v>
      </c>
      <c r="F2086" t="s">
        <v>7253</v>
      </c>
      <c r="G2086" t="s">
        <v>7867</v>
      </c>
      <c r="H2086" s="214">
        <v>481.80736000000002</v>
      </c>
      <c r="I2086" s="425">
        <v>15.83633</v>
      </c>
      <c r="J2086" s="91">
        <v>61.145400000000002</v>
      </c>
      <c r="K2086" s="425">
        <v>5459.0138200000001</v>
      </c>
      <c r="L2086" s="542" t="s">
        <v>622</v>
      </c>
    </row>
    <row r="2087" spans="1:12" ht="15">
      <c r="A2087">
        <v>461975</v>
      </c>
      <c r="B2087" t="str">
        <f t="shared" si="88"/>
        <v>SEVROLL Comfort horné vedenie 6m oliva new</v>
      </c>
      <c r="C2087" s="209">
        <f t="shared" si="89"/>
        <v>125.02745</v>
      </c>
      <c r="D2087" t="s">
        <v>5833</v>
      </c>
      <c r="E2087" t="s">
        <v>6746</v>
      </c>
      <c r="F2087" t="s">
        <v>7254</v>
      </c>
      <c r="G2087" t="s">
        <v>7868</v>
      </c>
      <c r="H2087" s="214">
        <v>3355.5711999999999</v>
      </c>
      <c r="I2087" s="425">
        <v>125.02745</v>
      </c>
      <c r="J2087" s="91">
        <v>425.85014999999999</v>
      </c>
      <c r="K2087" s="425">
        <v>38019.571819999997</v>
      </c>
      <c r="L2087" s="542" t="s">
        <v>622</v>
      </c>
    </row>
    <row r="2088" spans="1:12" ht="15">
      <c r="A2088">
        <v>461976</v>
      </c>
      <c r="B2088" t="str">
        <f t="shared" si="88"/>
        <v>SEVROLL spojovacia lišta H16 3m oliva new</v>
      </c>
      <c r="C2088" s="209">
        <f t="shared" si="89"/>
        <v>15.788119999999999</v>
      </c>
      <c r="D2088" t="s">
        <v>5834</v>
      </c>
      <c r="E2088" t="s">
        <v>6747</v>
      </c>
      <c r="F2088" t="s">
        <v>7255</v>
      </c>
      <c r="G2088" t="s">
        <v>7869</v>
      </c>
      <c r="H2088" s="214">
        <v>423.44959999999998</v>
      </c>
      <c r="I2088" s="425">
        <v>15.788119999999999</v>
      </c>
      <c r="J2088" s="91">
        <v>53.739319999999999</v>
      </c>
      <c r="K2088" s="425">
        <v>4797.8038699999997</v>
      </c>
      <c r="L2088" s="542" t="s">
        <v>622</v>
      </c>
    </row>
    <row r="2089" spans="1:12" ht="15">
      <c r="A2089">
        <v>461977</v>
      </c>
      <c r="B2089" t="str">
        <f t="shared" si="88"/>
        <v>SEVROLL spojovacia lišta H08/16 3m oliva new</v>
      </c>
      <c r="C2089" s="209">
        <f t="shared" si="89"/>
        <v>0</v>
      </c>
      <c r="D2089" t="s">
        <v>5835</v>
      </c>
      <c r="E2089" t="s">
        <v>6748</v>
      </c>
      <c r="F2089" t="s">
        <v>7256</v>
      </c>
      <c r="G2089" t="s">
        <v>7870</v>
      </c>
      <c r="H2089" s="214">
        <v>243.39456000000001</v>
      </c>
      <c r="I2089" s="425">
        <v>0</v>
      </c>
      <c r="J2089" s="91">
        <v>33.774619999999999</v>
      </c>
      <c r="K2089" s="425">
        <v>2757.72928</v>
      </c>
      <c r="L2089" s="542" t="s">
        <v>622</v>
      </c>
    </row>
    <row r="2090" spans="1:12" ht="15">
      <c r="A2090">
        <v>461978</v>
      </c>
      <c r="B2090" t="str">
        <f t="shared" si="88"/>
        <v>SEVROLL Maxim horné vedenie 4,3m oliva new</v>
      </c>
      <c r="C2090" s="209">
        <f t="shared" si="89"/>
        <v>60.790289999999999</v>
      </c>
      <c r="D2090" t="s">
        <v>5836</v>
      </c>
      <c r="E2090" t="s">
        <v>6749</v>
      </c>
      <c r="F2090" t="s">
        <v>7257</v>
      </c>
      <c r="G2090" t="s">
        <v>7871</v>
      </c>
      <c r="H2090" s="214">
        <v>1751.4444800000001</v>
      </c>
      <c r="I2090" s="425">
        <v>60.790289999999999</v>
      </c>
      <c r="J2090" s="91">
        <v>222.27302</v>
      </c>
      <c r="K2090" s="425">
        <v>19844.361870000001</v>
      </c>
      <c r="L2090" s="542" t="s">
        <v>622</v>
      </c>
    </row>
    <row r="2091" spans="1:12" ht="15">
      <c r="A2091">
        <v>461979</v>
      </c>
      <c r="B2091" t="str">
        <f t="shared" si="88"/>
        <v>SEVROLL Maxim vodiaca lišta 4,3m oliva new</v>
      </c>
      <c r="C2091" s="209">
        <f t="shared" si="89"/>
        <v>44.35136</v>
      </c>
      <c r="D2091" t="s">
        <v>5837</v>
      </c>
      <c r="E2091" t="s">
        <v>6750</v>
      </c>
      <c r="F2091" t="s">
        <v>7258</v>
      </c>
      <c r="G2091" t="s">
        <v>7872</v>
      </c>
      <c r="H2091" s="214">
        <v>1277.4656</v>
      </c>
      <c r="I2091" s="425">
        <v>44.35136</v>
      </c>
      <c r="J2091" s="91">
        <v>162.12110999999999</v>
      </c>
      <c r="K2091" s="425">
        <v>14474.046969999999</v>
      </c>
      <c r="L2091" s="542" t="s">
        <v>622</v>
      </c>
    </row>
    <row r="2092" spans="1:12" ht="15">
      <c r="A2092">
        <v>461980</v>
      </c>
      <c r="B2092" t="str">
        <f t="shared" si="88"/>
        <v>SEVROLL Oaza II úch. Lišta 2,7m oliva new</v>
      </c>
      <c r="C2092" s="209">
        <f t="shared" si="89"/>
        <v>15.619389999999999</v>
      </c>
      <c r="D2092" t="s">
        <v>5838</v>
      </c>
      <c r="E2092" t="s">
        <v>6751</v>
      </c>
      <c r="F2092" t="s">
        <v>7259</v>
      </c>
      <c r="G2092" t="s">
        <v>7873</v>
      </c>
      <c r="H2092" s="214">
        <v>461.16863999999998</v>
      </c>
      <c r="I2092" s="425">
        <v>15.619389999999999</v>
      </c>
      <c r="J2092" s="91">
        <v>58.526179999999997</v>
      </c>
      <c r="K2092" s="425">
        <v>5225.1712799999996</v>
      </c>
      <c r="L2092" s="542" t="s">
        <v>621</v>
      </c>
    </row>
    <row r="2093" spans="1:12" ht="15">
      <c r="A2093">
        <v>461981</v>
      </c>
      <c r="B2093" t="str">
        <f t="shared" si="88"/>
        <v>SEVROLL Maxim vodiaca lišta 2,5m oliva new</v>
      </c>
      <c r="C2093" s="209">
        <f t="shared" si="89"/>
        <v>25.79128</v>
      </c>
      <c r="D2093" t="s">
        <v>5839</v>
      </c>
      <c r="E2093" t="s">
        <v>6752</v>
      </c>
      <c r="F2093" t="s">
        <v>7260</v>
      </c>
      <c r="G2093" t="s">
        <v>7874</v>
      </c>
      <c r="H2093" s="214">
        <v>742.99392</v>
      </c>
      <c r="I2093" s="425">
        <v>25.79128</v>
      </c>
      <c r="J2093" s="91">
        <v>94.292169999999999</v>
      </c>
      <c r="K2093" s="425">
        <v>8418.3314900000005</v>
      </c>
      <c r="L2093" s="542" t="s">
        <v>622</v>
      </c>
    </row>
    <row r="2094" spans="1:12" ht="15">
      <c r="A2094">
        <v>461982</v>
      </c>
      <c r="B2094" t="str">
        <f t="shared" si="88"/>
        <v>SEVROLL Fala úchytová lišta 10mm 2,70m oliva new</v>
      </c>
      <c r="C2094" s="209">
        <f t="shared" si="89"/>
        <v>14.82291</v>
      </c>
      <c r="D2094" t="s">
        <v>5840</v>
      </c>
      <c r="E2094" t="s">
        <v>6753</v>
      </c>
      <c r="F2094" t="s">
        <v>7261</v>
      </c>
      <c r="G2094" t="s">
        <v>7875</v>
      </c>
      <c r="H2094" s="214">
        <v>355.58208999999999</v>
      </c>
      <c r="I2094" s="425">
        <v>14.82291</v>
      </c>
      <c r="J2094" s="91">
        <v>49.52</v>
      </c>
      <c r="K2094" s="425">
        <v>3628.5911599999999</v>
      </c>
      <c r="L2094" s="542" t="s">
        <v>1025</v>
      </c>
    </row>
    <row r="2095" spans="1:12" ht="15">
      <c r="A2095">
        <v>461983</v>
      </c>
      <c r="B2095" t="str">
        <f t="shared" si="88"/>
        <v>SEVROLL Polo úchytová lišta 10mm 2,7m oliva new</v>
      </c>
      <c r="C2095" s="209">
        <f t="shared" si="89"/>
        <v>16.2943</v>
      </c>
      <c r="D2095" t="s">
        <v>5841</v>
      </c>
      <c r="E2095" t="s">
        <v>6754</v>
      </c>
      <c r="F2095" t="s">
        <v>7262</v>
      </c>
      <c r="G2095" t="s">
        <v>7876</v>
      </c>
      <c r="H2095" s="214">
        <v>361.78919999999999</v>
      </c>
      <c r="I2095" s="425">
        <v>16.2943</v>
      </c>
      <c r="J2095" s="91">
        <v>43.059690000000003</v>
      </c>
      <c r="K2095" s="425">
        <v>3886.6243100000002</v>
      </c>
      <c r="L2095" s="542" t="s">
        <v>1025</v>
      </c>
    </row>
    <row r="2096" spans="1:12" ht="15">
      <c r="A2096">
        <v>461984</v>
      </c>
      <c r="B2096" t="str">
        <f t="shared" si="88"/>
        <v>SEVROLL Simple horné vedenie 6m oliva new</v>
      </c>
      <c r="C2096" s="209">
        <f t="shared" si="89"/>
        <v>60.708539999999999</v>
      </c>
      <c r="D2096" t="s">
        <v>5842</v>
      </c>
      <c r="E2096" t="s">
        <v>6755</v>
      </c>
      <c r="F2096" t="s">
        <v>7263</v>
      </c>
      <c r="G2096" t="s">
        <v>7877</v>
      </c>
      <c r="H2096" s="214">
        <v>1312.0488</v>
      </c>
      <c r="I2096" s="425">
        <v>60.708539999999999</v>
      </c>
      <c r="J2096" s="91">
        <v>157.87617</v>
      </c>
      <c r="K2096" s="425">
        <v>14095.06077</v>
      </c>
      <c r="L2096" s="542" t="s">
        <v>622</v>
      </c>
    </row>
    <row r="2097" spans="1:12" ht="15">
      <c r="A2097">
        <v>461985</v>
      </c>
      <c r="B2097" t="str">
        <f t="shared" si="88"/>
        <v>SEVROLL Simple spodné vedenie 6m oliva new</v>
      </c>
      <c r="C2097" s="209">
        <f t="shared" si="89"/>
        <v>31.171710000000001</v>
      </c>
      <c r="D2097" t="s">
        <v>5843</v>
      </c>
      <c r="E2097" t="s">
        <v>6756</v>
      </c>
      <c r="F2097" t="s">
        <v>7264</v>
      </c>
      <c r="G2097" t="s">
        <v>7878</v>
      </c>
      <c r="H2097" s="214">
        <v>691.30259999999998</v>
      </c>
      <c r="I2097" s="425">
        <v>31.171710000000001</v>
      </c>
      <c r="J2097" s="91">
        <v>83.183030000000002</v>
      </c>
      <c r="K2097" s="425">
        <v>7426.5165699999998</v>
      </c>
      <c r="L2097" s="542" t="s">
        <v>622</v>
      </c>
    </row>
    <row r="2098" spans="1:12" ht="15">
      <c r="A2098">
        <v>461986</v>
      </c>
      <c r="B2098" t="str">
        <f t="shared" si="88"/>
        <v>SEVROLL spojovacia lišta Simple/Blue H28 3m ( pre lamino 18mm ) oliva new</v>
      </c>
      <c r="C2098" s="209">
        <f t="shared" si="89"/>
        <v>27.139009999999999</v>
      </c>
      <c r="D2098" t="s">
        <v>5844</v>
      </c>
      <c r="E2098" t="s">
        <v>6757</v>
      </c>
      <c r="F2098" t="s">
        <v>7265</v>
      </c>
      <c r="G2098" t="s">
        <v>7879</v>
      </c>
      <c r="H2098" s="214">
        <v>717.81775000000005</v>
      </c>
      <c r="I2098" s="425">
        <v>27.139009999999999</v>
      </c>
      <c r="J2098" s="91">
        <v>76.010000000000005</v>
      </c>
      <c r="K2098" s="425">
        <v>7257.1823299999996</v>
      </c>
      <c r="L2098" s="542" t="s">
        <v>621</v>
      </c>
    </row>
    <row r="2099" spans="1:12" ht="15">
      <c r="A2099">
        <v>461987</v>
      </c>
      <c r="B2099" t="str">
        <f t="shared" si="88"/>
        <v>SEVROLL spodná krycia lišta Simple/Blue 3m (pre lamino 10mm) oliva new</v>
      </c>
      <c r="C2099" s="209">
        <f t="shared" si="89"/>
        <v>24.35971</v>
      </c>
      <c r="D2099" t="s">
        <v>5845</v>
      </c>
      <c r="E2099" t="s">
        <v>6758</v>
      </c>
      <c r="F2099" t="s">
        <v>7266</v>
      </c>
      <c r="G2099" t="s">
        <v>7880</v>
      </c>
      <c r="H2099" s="214">
        <v>565.20180000000005</v>
      </c>
      <c r="I2099" s="425">
        <v>24.35971</v>
      </c>
      <c r="J2099" s="91">
        <v>74.58</v>
      </c>
      <c r="K2099" s="425">
        <v>6071.8425399999996</v>
      </c>
      <c r="L2099" s="542" t="s">
        <v>1025</v>
      </c>
    </row>
    <row r="2100" spans="1:12" ht="15">
      <c r="A2100">
        <v>461988</v>
      </c>
      <c r="B2100" t="str">
        <f t="shared" si="88"/>
        <v>SEVROLL Simple horné vedenie 1,5m oliva new</v>
      </c>
      <c r="C2100" s="209">
        <f t="shared" si="89"/>
        <v>15.36787</v>
      </c>
      <c r="D2100" t="s">
        <v>5846</v>
      </c>
      <c r="E2100" t="s">
        <v>6759</v>
      </c>
      <c r="F2100" t="s">
        <v>7267</v>
      </c>
      <c r="G2100" t="s">
        <v>7881</v>
      </c>
      <c r="H2100" s="214">
        <v>331.76519999999999</v>
      </c>
      <c r="I2100" s="425">
        <v>15.36787</v>
      </c>
      <c r="J2100" s="91">
        <v>39.920630000000003</v>
      </c>
      <c r="K2100" s="425">
        <v>3564.0828700000002</v>
      </c>
      <c r="L2100" s="542" t="s">
        <v>622</v>
      </c>
    </row>
    <row r="2101" spans="1:12" ht="15">
      <c r="A2101">
        <v>461989</v>
      </c>
      <c r="B2101" t="str">
        <f t="shared" si="88"/>
        <v>SEVROLL Simple horné vedenie 2m oliva new</v>
      </c>
      <c r="C2101" s="209">
        <f t="shared" si="89"/>
        <v>20.381499999999999</v>
      </c>
      <c r="D2101" t="s">
        <v>5847</v>
      </c>
      <c r="E2101" t="s">
        <v>6760</v>
      </c>
      <c r="F2101" t="s">
        <v>7268</v>
      </c>
      <c r="G2101" t="s">
        <v>7882</v>
      </c>
      <c r="H2101" s="214">
        <v>440.60219999999998</v>
      </c>
      <c r="I2101" s="425">
        <v>20.381499999999999</v>
      </c>
      <c r="J2101" s="91">
        <v>53.016759999999998</v>
      </c>
      <c r="K2101" s="425">
        <v>4733.2955899999997</v>
      </c>
      <c r="L2101" s="542" t="s">
        <v>622</v>
      </c>
    </row>
    <row r="2102" spans="1:12" ht="15">
      <c r="A2102">
        <v>461990</v>
      </c>
      <c r="B2102" t="str">
        <f t="shared" si="88"/>
        <v>SEVROLL Simple horné vedenie 2,5m oliva new</v>
      </c>
      <c r="C2102" s="209">
        <f t="shared" si="89"/>
        <v>25.28614</v>
      </c>
      <c r="D2102" t="s">
        <v>5848</v>
      </c>
      <c r="E2102" t="s">
        <v>6761</v>
      </c>
      <c r="F2102" t="s">
        <v>7269</v>
      </c>
      <c r="G2102" t="s">
        <v>7883</v>
      </c>
      <c r="H2102" s="214">
        <v>546.43679999999995</v>
      </c>
      <c r="I2102" s="425">
        <v>25.28614</v>
      </c>
      <c r="J2102" s="91">
        <v>65.751630000000006</v>
      </c>
      <c r="K2102" s="425">
        <v>5870.2541499999998</v>
      </c>
      <c r="L2102" s="542" t="s">
        <v>622</v>
      </c>
    </row>
    <row r="2103" spans="1:12" ht="15">
      <c r="A2103">
        <v>461991</v>
      </c>
      <c r="B2103" t="str">
        <f t="shared" si="88"/>
        <v>SEVROLL Simple horné vedenie 3m oliva new</v>
      </c>
      <c r="C2103" s="209">
        <f t="shared" si="89"/>
        <v>30.27253</v>
      </c>
      <c r="D2103" t="s">
        <v>5849</v>
      </c>
      <c r="E2103" t="s">
        <v>6762</v>
      </c>
      <c r="F2103" t="s">
        <v>7270</v>
      </c>
      <c r="G2103" t="s">
        <v>7884</v>
      </c>
      <c r="H2103" s="214">
        <v>654.52319999999997</v>
      </c>
      <c r="I2103" s="425">
        <v>30.27253</v>
      </c>
      <c r="J2103" s="91">
        <v>78.757450000000006</v>
      </c>
      <c r="K2103" s="425">
        <v>7031.4033099999997</v>
      </c>
      <c r="L2103" s="542" t="s">
        <v>622</v>
      </c>
    </row>
    <row r="2104" spans="1:12" ht="15">
      <c r="A2104">
        <v>461992</v>
      </c>
      <c r="B2104" t="str">
        <f t="shared" si="88"/>
        <v>SEVROLL Simple horné vedenie 4m oliva new</v>
      </c>
      <c r="C2104" s="209">
        <f t="shared" si="89"/>
        <v>40.299790000000002</v>
      </c>
      <c r="D2104" t="s">
        <v>5850</v>
      </c>
      <c r="E2104" t="s">
        <v>6763</v>
      </c>
      <c r="F2104" t="s">
        <v>7271</v>
      </c>
      <c r="G2104" t="s">
        <v>7885</v>
      </c>
      <c r="H2104" s="214">
        <v>870.69600000000003</v>
      </c>
      <c r="I2104" s="425">
        <v>40.299790000000002</v>
      </c>
      <c r="J2104" s="91">
        <v>104.76908</v>
      </c>
      <c r="K2104" s="425">
        <v>9353.7016700000004</v>
      </c>
      <c r="L2104" s="542" t="s">
        <v>622</v>
      </c>
    </row>
    <row r="2105" spans="1:12" ht="15">
      <c r="A2105">
        <v>461993</v>
      </c>
      <c r="B2105" t="str">
        <f t="shared" si="88"/>
        <v>SEVROLL Simple spodné vedenie 1,5m oliva new</v>
      </c>
      <c r="C2105" s="209">
        <f t="shared" si="89"/>
        <v>7.9836600000000004</v>
      </c>
      <c r="D2105" t="s">
        <v>5851</v>
      </c>
      <c r="E2105" t="s">
        <v>6764</v>
      </c>
      <c r="F2105" t="s">
        <v>7272</v>
      </c>
      <c r="G2105" t="s">
        <v>7886</v>
      </c>
      <c r="H2105" s="214">
        <v>177.14160000000001</v>
      </c>
      <c r="I2105" s="425">
        <v>7.9836600000000004</v>
      </c>
      <c r="J2105" s="91">
        <v>21.315090000000001</v>
      </c>
      <c r="K2105" s="425">
        <v>1902.99449</v>
      </c>
      <c r="L2105" s="542" t="s">
        <v>622</v>
      </c>
    </row>
    <row r="2106" spans="1:12" ht="15">
      <c r="A2106">
        <v>461994</v>
      </c>
      <c r="B2106" t="str">
        <f t="shared" si="88"/>
        <v>SEVROLL Simple spodné vedenie 2m oliva new</v>
      </c>
      <c r="C2106" s="209">
        <f t="shared" si="89"/>
        <v>10.544980000000001</v>
      </c>
      <c r="D2106" t="s">
        <v>5852</v>
      </c>
      <c r="E2106" t="s">
        <v>6765</v>
      </c>
      <c r="F2106" t="s">
        <v>7273</v>
      </c>
      <c r="G2106" t="s">
        <v>7887</v>
      </c>
      <c r="H2106" s="214">
        <v>233.4366</v>
      </c>
      <c r="I2106" s="425">
        <v>10.544980000000001</v>
      </c>
      <c r="J2106" s="91">
        <v>28.088950000000001</v>
      </c>
      <c r="K2106" s="425">
        <v>2507.7596699999999</v>
      </c>
      <c r="L2106" s="542" t="s">
        <v>622</v>
      </c>
    </row>
    <row r="2107" spans="1:12" ht="15">
      <c r="A2107">
        <v>461995</v>
      </c>
      <c r="B2107" t="str">
        <f t="shared" si="88"/>
        <v>SEVROLL Simple spodné vedenie 2,5m oliva new</v>
      </c>
      <c r="C2107" s="209">
        <f t="shared" si="89"/>
        <v>13.02454</v>
      </c>
      <c r="D2107" t="s">
        <v>5853</v>
      </c>
      <c r="E2107" t="s">
        <v>6766</v>
      </c>
      <c r="F2107" t="s">
        <v>7274</v>
      </c>
      <c r="G2107" t="s">
        <v>7888</v>
      </c>
      <c r="H2107" s="214">
        <v>288.98099999999999</v>
      </c>
      <c r="I2107" s="425">
        <v>13.02454</v>
      </c>
      <c r="J2107" s="91">
        <v>34.772489999999998</v>
      </c>
      <c r="K2107" s="425">
        <v>3104.4613300000001</v>
      </c>
      <c r="L2107" s="542" t="s">
        <v>622</v>
      </c>
    </row>
    <row r="2108" spans="1:12" ht="15">
      <c r="A2108">
        <v>461996</v>
      </c>
      <c r="B2108" t="str">
        <f t="shared" si="88"/>
        <v>SEVROLL Simple spodné vedenie 3m oliva new</v>
      </c>
      <c r="C2108" s="209">
        <f t="shared" si="89"/>
        <v>15.47686</v>
      </c>
      <c r="D2108" t="s">
        <v>5854</v>
      </c>
      <c r="E2108" t="s">
        <v>6767</v>
      </c>
      <c r="F2108" t="s">
        <v>7275</v>
      </c>
      <c r="G2108" t="s">
        <v>7889</v>
      </c>
      <c r="H2108" s="214">
        <v>343.02420000000001</v>
      </c>
      <c r="I2108" s="425">
        <v>15.47686</v>
      </c>
      <c r="J2108" s="91">
        <v>41.275410000000001</v>
      </c>
      <c r="K2108" s="425">
        <v>3685.0359199999998</v>
      </c>
      <c r="L2108" s="542" t="s">
        <v>622</v>
      </c>
    </row>
    <row r="2109" spans="1:12" ht="15">
      <c r="A2109">
        <v>461997</v>
      </c>
      <c r="B2109" t="str">
        <f t="shared" si="88"/>
        <v>SEVROLL Simple spodné vedenie 4m oliva new</v>
      </c>
      <c r="C2109" s="209">
        <f t="shared" si="89"/>
        <v>20.681229999999999</v>
      </c>
      <c r="D2109" t="s">
        <v>5855</v>
      </c>
      <c r="E2109" t="s">
        <v>6768</v>
      </c>
      <c r="F2109" t="s">
        <v>7276</v>
      </c>
      <c r="G2109" t="s">
        <v>7890</v>
      </c>
      <c r="H2109" s="214">
        <v>458.61660000000001</v>
      </c>
      <c r="I2109" s="425">
        <v>20.681229999999999</v>
      </c>
      <c r="J2109" s="91">
        <v>55.184399999999997</v>
      </c>
      <c r="K2109" s="425">
        <v>4926.8204400000004</v>
      </c>
      <c r="L2109" s="542" t="s">
        <v>622</v>
      </c>
    </row>
    <row r="2110" spans="1:12" ht="15">
      <c r="A2110">
        <v>461998</v>
      </c>
      <c r="B2110" t="str">
        <f t="shared" si="88"/>
        <v>SEVROLL horná vodiaca lišta Simple/Blue 1,5m ( pre lamino 18 mm ) oliva new</v>
      </c>
      <c r="C2110" s="209">
        <f t="shared" si="89"/>
        <v>6.9754899999999997</v>
      </c>
      <c r="D2110" t="s">
        <v>5856</v>
      </c>
      <c r="E2110" t="s">
        <v>6769</v>
      </c>
      <c r="F2110" t="s">
        <v>7277</v>
      </c>
      <c r="G2110" t="s">
        <v>7891</v>
      </c>
      <c r="H2110" s="214">
        <v>181.95099999999999</v>
      </c>
      <c r="I2110" s="425">
        <v>6.9754899999999997</v>
      </c>
      <c r="J2110" s="91">
        <v>27.22</v>
      </c>
      <c r="K2110" s="425">
        <v>1733.66023</v>
      </c>
      <c r="L2110" s="542" t="s">
        <v>621</v>
      </c>
    </row>
    <row r="2111" spans="1:12" ht="15">
      <c r="A2111">
        <v>461999</v>
      </c>
      <c r="B2111" t="str">
        <f t="shared" si="88"/>
        <v>SEVROLL horná vodiaca lišta Simple/Blue 2m ( pre lamino 18 mm) oliva new</v>
      </c>
      <c r="C2111" s="209">
        <f t="shared" si="89"/>
        <v>9.1280800000000006</v>
      </c>
      <c r="D2111" t="s">
        <v>5857</v>
      </c>
      <c r="E2111" t="s">
        <v>6770</v>
      </c>
      <c r="F2111" t="s">
        <v>7278</v>
      </c>
      <c r="G2111" t="s">
        <v>7892</v>
      </c>
      <c r="H2111" s="214">
        <v>238.38499999999999</v>
      </c>
      <c r="I2111" s="425">
        <v>9.1280800000000006</v>
      </c>
      <c r="J2111" s="91">
        <v>36.29</v>
      </c>
      <c r="K2111" s="425">
        <v>2273.9171299999998</v>
      </c>
      <c r="L2111" s="542" t="s">
        <v>621</v>
      </c>
    </row>
    <row r="2112" spans="1:12" ht="15">
      <c r="A2112">
        <v>462000</v>
      </c>
      <c r="B2112" t="str">
        <f t="shared" si="88"/>
        <v>SEVROLL horná vodiaca lišta Simple/Blue 2,5m (pre lamino 18mm) oliva new</v>
      </c>
      <c r="C2112" s="209">
        <f t="shared" si="89"/>
        <v>0</v>
      </c>
      <c r="D2112" t="s">
        <v>5858</v>
      </c>
      <c r="E2112" t="s">
        <v>6771</v>
      </c>
      <c r="F2112" t="s">
        <v>7279</v>
      </c>
      <c r="G2112" t="s">
        <v>7893</v>
      </c>
      <c r="H2112" s="214">
        <v>228.93299999999999</v>
      </c>
      <c r="I2112" s="425">
        <v>0</v>
      </c>
      <c r="J2112" s="91">
        <v>27.547039999999999</v>
      </c>
      <c r="K2112" s="425">
        <v>2459.3784599999999</v>
      </c>
      <c r="L2112" s="542" t="s">
        <v>622</v>
      </c>
    </row>
    <row r="2113" spans="1:12" ht="15">
      <c r="A2113">
        <v>462001</v>
      </c>
      <c r="B2113" t="str">
        <f t="shared" si="88"/>
        <v>SEVROLL spodná krycia lišta Simple/Blue (pre lamino 18mm) oliva new</v>
      </c>
      <c r="C2113" s="209">
        <f t="shared" si="89"/>
        <v>13.460509999999999</v>
      </c>
      <c r="D2113" t="s">
        <v>5859</v>
      </c>
      <c r="E2113" t="s">
        <v>6772</v>
      </c>
      <c r="F2113" t="s">
        <v>7280</v>
      </c>
      <c r="G2113" t="s">
        <v>7894</v>
      </c>
      <c r="H2113" s="214">
        <v>351.25299999999999</v>
      </c>
      <c r="I2113" s="425">
        <v>13.460509999999999</v>
      </c>
      <c r="J2113" s="91">
        <v>51.32</v>
      </c>
      <c r="K2113" s="425">
        <v>3346.3674099999998</v>
      </c>
      <c r="L2113" s="542" t="s">
        <v>621</v>
      </c>
    </row>
    <row r="2114" spans="1:12" ht="15">
      <c r="A2114">
        <v>462002</v>
      </c>
      <c r="B2114" t="str">
        <f t="shared" si="88"/>
        <v>SEVROLL horná vodiaca lišta Simple/Blue 1,5m (pre lamino 10mm) oliva new</v>
      </c>
      <c r="C2114" s="209">
        <f t="shared" si="89"/>
        <v>7.9836600000000004</v>
      </c>
      <c r="D2114" t="s">
        <v>5860</v>
      </c>
      <c r="E2114" t="s">
        <v>6773</v>
      </c>
      <c r="F2114" t="s">
        <v>7281</v>
      </c>
      <c r="G2114" t="s">
        <v>7895</v>
      </c>
      <c r="H2114" s="214">
        <v>184.64760000000001</v>
      </c>
      <c r="I2114" s="425">
        <v>7.9836600000000004</v>
      </c>
      <c r="J2114" s="91">
        <v>22.21828</v>
      </c>
      <c r="K2114" s="425">
        <v>1983.6298400000001</v>
      </c>
      <c r="L2114" s="542" t="s">
        <v>622</v>
      </c>
    </row>
    <row r="2115" spans="1:12" ht="15">
      <c r="A2115">
        <v>462003</v>
      </c>
      <c r="B2115" t="str">
        <f t="shared" si="88"/>
        <v>SEVROLL horná vodiaca lišta Simple/Blue 2m (pre lamino 10mm) oliva new</v>
      </c>
      <c r="C2115" s="209">
        <f t="shared" si="89"/>
        <v>10.626720000000001</v>
      </c>
      <c r="D2115" t="s">
        <v>5861</v>
      </c>
      <c r="E2115" t="s">
        <v>6774</v>
      </c>
      <c r="F2115" t="s">
        <v>7282</v>
      </c>
      <c r="G2115" t="s">
        <v>7896</v>
      </c>
      <c r="H2115" s="214">
        <v>246.1968</v>
      </c>
      <c r="I2115" s="425">
        <v>10.626720000000001</v>
      </c>
      <c r="J2115" s="91">
        <v>33.119999999999997</v>
      </c>
      <c r="K2115" s="425">
        <v>2644.83977</v>
      </c>
      <c r="L2115" s="542" t="s">
        <v>622</v>
      </c>
    </row>
    <row r="2116" spans="1:12" ht="15">
      <c r="A2116">
        <v>462004</v>
      </c>
      <c r="B2116" t="str">
        <f t="shared" si="88"/>
        <v>SEVROLL horná vodiaca lišta Simple/Blue 2,5m (pre lamino 10mm) oliva new</v>
      </c>
      <c r="C2116" s="209">
        <f t="shared" si="89"/>
        <v>13.21528</v>
      </c>
      <c r="D2116" t="s">
        <v>5862</v>
      </c>
      <c r="E2116" t="s">
        <v>6775</v>
      </c>
      <c r="F2116" t="s">
        <v>7283</v>
      </c>
      <c r="G2116" t="s">
        <v>7897</v>
      </c>
      <c r="H2116" s="214">
        <v>306.2448</v>
      </c>
      <c r="I2116" s="425">
        <v>13.21528</v>
      </c>
      <c r="J2116" s="91">
        <v>36.849820000000001</v>
      </c>
      <c r="K2116" s="425">
        <v>3289.9226399999998</v>
      </c>
      <c r="L2116" s="542" t="s">
        <v>622</v>
      </c>
    </row>
    <row r="2117" spans="1:12" ht="15">
      <c r="A2117">
        <v>462005</v>
      </c>
      <c r="B2117" t="str">
        <f t="shared" si="88"/>
        <v>SEVROLL spodná krycia lišta Simple/Blue 1,5m (pre lamino 10mm) oliva new</v>
      </c>
      <c r="C2117" s="209">
        <f t="shared" si="89"/>
        <v>12.47958</v>
      </c>
      <c r="D2117" t="s">
        <v>5863</v>
      </c>
      <c r="E2117" t="s">
        <v>6776</v>
      </c>
      <c r="F2117" t="s">
        <v>7284</v>
      </c>
      <c r="G2117" t="s">
        <v>7898</v>
      </c>
      <c r="H2117" s="214">
        <v>288.98099999999999</v>
      </c>
      <c r="I2117" s="425">
        <v>12.47958</v>
      </c>
      <c r="J2117" s="91">
        <v>37.26</v>
      </c>
      <c r="K2117" s="425">
        <v>3104.4613300000001</v>
      </c>
      <c r="L2117" s="542" t="s">
        <v>622</v>
      </c>
    </row>
    <row r="2118" spans="1:12" ht="15">
      <c r="A2118">
        <v>462006</v>
      </c>
      <c r="B2118" t="str">
        <f t="shared" ref="B2118:B2176" si="90">IF($A$2=1,D2118,IF($A$2=2,F2118,IF($A$2=3,G2118,IF($A$2=4,E2118,"zadat jazyk"))))</f>
        <v>SEVROLL spodná vodiaca lišta Simple/Blue 2m (pre lamino 10mm) oliva new</v>
      </c>
      <c r="C2118" s="209">
        <f t="shared" ref="C2118:C2176" si="91">IF($A$2=1,H2118,IF($A$2=2,I2118,IF($A$2=3,J2118,IF($A$2=4,K2118,"zadat jazyk"))))</f>
        <v>16.430540000000001</v>
      </c>
      <c r="D2118" t="s">
        <v>5864</v>
      </c>
      <c r="E2118" t="s">
        <v>6777</v>
      </c>
      <c r="F2118" t="s">
        <v>7285</v>
      </c>
      <c r="G2118" t="s">
        <v>7899</v>
      </c>
      <c r="H2118" s="214">
        <v>380.55419999999998</v>
      </c>
      <c r="I2118" s="425">
        <v>16.430540000000001</v>
      </c>
      <c r="J2118" s="91">
        <v>49.74</v>
      </c>
      <c r="K2118" s="425">
        <v>4088.21272</v>
      </c>
      <c r="L2118" s="542" t="s">
        <v>622</v>
      </c>
    </row>
    <row r="2119" spans="1:12" ht="15">
      <c r="A2119">
        <v>462007</v>
      </c>
      <c r="B2119" t="str">
        <f t="shared" si="90"/>
        <v>SEVROLL spodná vodiaca lišta Simple/Blue 2,5 (pre lamino 10mm) oliva new</v>
      </c>
      <c r="C2119" s="209">
        <f t="shared" si="91"/>
        <v>20.436</v>
      </c>
      <c r="D2119" t="s">
        <v>5865</v>
      </c>
      <c r="E2119" t="s">
        <v>6778</v>
      </c>
      <c r="F2119" t="s">
        <v>7286</v>
      </c>
      <c r="G2119" t="s">
        <v>7900</v>
      </c>
      <c r="H2119" s="214">
        <v>473.62860000000001</v>
      </c>
      <c r="I2119" s="425">
        <v>20.436</v>
      </c>
      <c r="J2119" s="91">
        <v>56.990769999999998</v>
      </c>
      <c r="K2119" s="425">
        <v>5088.0911599999999</v>
      </c>
      <c r="L2119" s="542" t="s">
        <v>622</v>
      </c>
    </row>
    <row r="2120" spans="1:12" ht="15">
      <c r="A2120">
        <v>462008</v>
      </c>
      <c r="B2120" t="str">
        <f t="shared" si="90"/>
        <v>SEVROLL spojovacia lišta Simple/Blue H21 3m ( pre lamino 18 mm ) oliva new</v>
      </c>
      <c r="C2120" s="209">
        <f t="shared" si="91"/>
        <v>15.64035</v>
      </c>
      <c r="D2120" t="s">
        <v>5866</v>
      </c>
      <c r="E2120" t="s">
        <v>6779</v>
      </c>
      <c r="F2120" t="s">
        <v>7287</v>
      </c>
      <c r="G2120" t="s">
        <v>7901</v>
      </c>
      <c r="H2120" s="214">
        <v>412.86336</v>
      </c>
      <c r="I2120" s="425">
        <v>15.64035</v>
      </c>
      <c r="J2120" s="91">
        <v>51.18</v>
      </c>
      <c r="K2120" s="425">
        <v>4176.9116100000001</v>
      </c>
      <c r="L2120" s="542" t="s">
        <v>621</v>
      </c>
    </row>
    <row r="2121" spans="1:12" ht="15">
      <c r="A2121">
        <v>462009</v>
      </c>
      <c r="B2121" t="str">
        <f t="shared" si="90"/>
        <v>SEVROLL spojovacia lišta Simple/Blue H25 3m oliva new</v>
      </c>
      <c r="C2121" s="209">
        <f t="shared" si="91"/>
        <v>0</v>
      </c>
      <c r="D2121" t="s">
        <v>5867</v>
      </c>
      <c r="E2121" t="s">
        <v>6780</v>
      </c>
      <c r="F2121" t="s">
        <v>7288</v>
      </c>
      <c r="G2121" t="s">
        <v>7902</v>
      </c>
      <c r="H2121" s="214">
        <v>344.52539999999999</v>
      </c>
      <c r="I2121" s="425">
        <v>0</v>
      </c>
      <c r="J2121" s="91">
        <v>44.507080000000002</v>
      </c>
      <c r="K2121" s="425">
        <v>3701.1629800000001</v>
      </c>
      <c r="L2121" s="542" t="s">
        <v>622</v>
      </c>
    </row>
    <row r="2122" spans="1:12" ht="15">
      <c r="A2122">
        <v>462010</v>
      </c>
      <c r="B2122" t="str">
        <f t="shared" si="90"/>
        <v>SEVROLL Uno úchytová lišta 18mm 2,70m oliva new</v>
      </c>
      <c r="C2122" s="209">
        <f t="shared" si="91"/>
        <v>15.149889999999999</v>
      </c>
      <c r="D2122" t="s">
        <v>5868</v>
      </c>
      <c r="E2122" t="s">
        <v>6781</v>
      </c>
      <c r="F2122" t="s">
        <v>7289</v>
      </c>
      <c r="G2122" t="s">
        <v>7903</v>
      </c>
      <c r="H2122" s="214">
        <v>351.2808</v>
      </c>
      <c r="I2122" s="425">
        <v>15.149889999999999</v>
      </c>
      <c r="J2122" s="91">
        <v>42.268900000000002</v>
      </c>
      <c r="K2122" s="425">
        <v>3773.7348200000001</v>
      </c>
      <c r="L2122" s="542" t="s">
        <v>622</v>
      </c>
    </row>
    <row r="2123" spans="1:12" ht="15">
      <c r="A2123">
        <v>462011</v>
      </c>
      <c r="B2123" t="str">
        <f t="shared" si="90"/>
        <v>SEVROLL Maxim II maska 2,5m oliva new</v>
      </c>
      <c r="C2123" s="209">
        <f t="shared" si="91"/>
        <v>8.9184800000000006</v>
      </c>
      <c r="D2123" t="s">
        <v>5869</v>
      </c>
      <c r="E2123" t="s">
        <v>6782</v>
      </c>
      <c r="F2123" t="s">
        <v>7290</v>
      </c>
      <c r="G2123" t="s">
        <v>7904</v>
      </c>
      <c r="H2123" s="214">
        <v>256.91647999999998</v>
      </c>
      <c r="I2123" s="425">
        <v>8.9184800000000006</v>
      </c>
      <c r="J2123" s="91">
        <v>32.604860000000002</v>
      </c>
      <c r="K2123" s="425">
        <v>2910.9364599999999</v>
      </c>
      <c r="L2123" s="542" t="s">
        <v>622</v>
      </c>
    </row>
    <row r="2124" spans="1:12" ht="15">
      <c r="A2124">
        <v>462012</v>
      </c>
      <c r="B2124" t="str">
        <f t="shared" si="90"/>
        <v>SEVROLL profil "U" na DTD 36mm oliva new 3m</v>
      </c>
      <c r="C2124" s="209">
        <f t="shared" si="91"/>
        <v>17.11384</v>
      </c>
      <c r="D2124" t="s">
        <v>5870</v>
      </c>
      <c r="E2124" t="s">
        <v>6783</v>
      </c>
      <c r="F2124" t="s">
        <v>7291</v>
      </c>
      <c r="G2124" t="s">
        <v>7905</v>
      </c>
      <c r="H2124" s="214">
        <v>493.19423999999998</v>
      </c>
      <c r="I2124" s="425">
        <v>17.11384</v>
      </c>
      <c r="J2124" s="91">
        <v>62.590479999999999</v>
      </c>
      <c r="K2124" s="425">
        <v>5588.0303899999999</v>
      </c>
      <c r="L2124" s="542" t="s">
        <v>622</v>
      </c>
    </row>
    <row r="2125" spans="1:12" ht="15">
      <c r="A2125">
        <v>462013</v>
      </c>
      <c r="B2125" t="str">
        <f t="shared" si="90"/>
        <v>SEVROLL profil "U" Mini na DTD 18mm oliva new 3m</v>
      </c>
      <c r="C2125" s="209">
        <f t="shared" si="91"/>
        <v>4.4351399999999996</v>
      </c>
      <c r="D2125" t="s">
        <v>5871</v>
      </c>
      <c r="E2125" t="s">
        <v>6784</v>
      </c>
      <c r="F2125" t="s">
        <v>7292</v>
      </c>
      <c r="G2125" t="s">
        <v>7906</v>
      </c>
      <c r="H2125" s="214">
        <v>127.39072</v>
      </c>
      <c r="I2125" s="425">
        <v>4.4351399999999996</v>
      </c>
      <c r="J2125" s="91">
        <v>16.16695</v>
      </c>
      <c r="K2125" s="425">
        <v>1443.37292</v>
      </c>
      <c r="L2125" s="542" t="s">
        <v>622</v>
      </c>
    </row>
    <row r="2126" spans="1:12" ht="15">
      <c r="A2126">
        <v>462014</v>
      </c>
      <c r="B2126" t="str">
        <f t="shared" si="90"/>
        <v>SEVROLL uholník 18x36mm 3m oliva new</v>
      </c>
      <c r="C2126" s="209">
        <f t="shared" si="91"/>
        <v>14.02853</v>
      </c>
      <c r="D2126" t="s">
        <v>5872</v>
      </c>
      <c r="E2126" t="s">
        <v>6785</v>
      </c>
      <c r="F2126" t="s">
        <v>7293</v>
      </c>
      <c r="G2126" t="s">
        <v>7907</v>
      </c>
      <c r="H2126" s="214">
        <v>404.23424</v>
      </c>
      <c r="I2126" s="425">
        <v>14.02853</v>
      </c>
      <c r="J2126" s="91">
        <v>51.300719999999998</v>
      </c>
      <c r="K2126" s="425">
        <v>4580.0884100000003</v>
      </c>
      <c r="L2126" s="542" t="s">
        <v>622</v>
      </c>
    </row>
    <row r="2127" spans="1:12" ht="15">
      <c r="A2127">
        <v>462015</v>
      </c>
      <c r="B2127" t="str">
        <f t="shared" si="90"/>
        <v>SEVROLL uholník 36x36mm 3m oliva new</v>
      </c>
      <c r="C2127" s="209">
        <f t="shared" si="91"/>
        <v>18.487770000000001</v>
      </c>
      <c r="D2127" t="s">
        <v>5873</v>
      </c>
      <c r="E2127" t="s">
        <v>6786</v>
      </c>
      <c r="F2127" t="s">
        <v>7294</v>
      </c>
      <c r="G2127" t="s">
        <v>7908</v>
      </c>
      <c r="H2127" s="214">
        <v>532.33663999999999</v>
      </c>
      <c r="I2127" s="425">
        <v>18.487770000000001</v>
      </c>
      <c r="J2127" s="91">
        <v>67.558000000000007</v>
      </c>
      <c r="K2127" s="425">
        <v>6031.5248700000002</v>
      </c>
      <c r="L2127" s="542" t="s">
        <v>622</v>
      </c>
    </row>
    <row r="2128" spans="1:12" ht="15">
      <c r="A2128">
        <v>462016</v>
      </c>
      <c r="B2128" t="str">
        <f t="shared" si="90"/>
        <v>SEVROLL Porto úchytová lišta 2,7m oliva new</v>
      </c>
      <c r="C2128" s="209">
        <f t="shared" si="91"/>
        <v>28.683759999999999</v>
      </c>
      <c r="D2128" t="s">
        <v>5874</v>
      </c>
      <c r="E2128" t="s">
        <v>6787</v>
      </c>
      <c r="F2128" t="s">
        <v>7295</v>
      </c>
      <c r="G2128" t="s">
        <v>7909</v>
      </c>
      <c r="H2128" s="214">
        <v>826.26048000000003</v>
      </c>
      <c r="I2128" s="425">
        <v>28.683759999999999</v>
      </c>
      <c r="J2128" s="91">
        <v>104.85939</v>
      </c>
      <c r="K2128" s="425">
        <v>9361.7651999999998</v>
      </c>
      <c r="L2128" s="542" t="s">
        <v>622</v>
      </c>
    </row>
    <row r="2129" spans="1:12" ht="15">
      <c r="A2129">
        <v>462017</v>
      </c>
      <c r="B2129" t="str">
        <f t="shared" si="90"/>
        <v>SEVROLL okrasná lišta S18 s lepidlom 3m oliva new</v>
      </c>
      <c r="C2129" s="209">
        <f t="shared" si="91"/>
        <v>11.88327</v>
      </c>
      <c r="D2129" t="s">
        <v>5875</v>
      </c>
      <c r="E2129" t="s">
        <v>6788</v>
      </c>
      <c r="F2129" t="s">
        <v>7296</v>
      </c>
      <c r="G2129" t="s">
        <v>7910</v>
      </c>
      <c r="H2129" s="214">
        <v>343.02976000000001</v>
      </c>
      <c r="I2129" s="425">
        <v>11.88327</v>
      </c>
      <c r="J2129" s="91">
        <v>43.533349999999999</v>
      </c>
      <c r="K2129" s="425">
        <v>3886.6243100000002</v>
      </c>
      <c r="L2129" s="542" t="s">
        <v>622</v>
      </c>
    </row>
    <row r="2130" spans="1:12" ht="15">
      <c r="A2130">
        <v>462018</v>
      </c>
      <c r="B2130" t="str">
        <f t="shared" si="90"/>
        <v>SEVROLL Gemini spodné vedenie 1,7m oliva new</v>
      </c>
      <c r="C2130" s="209">
        <f t="shared" si="91"/>
        <v>11.063739999999999</v>
      </c>
      <c r="D2130" t="s">
        <v>5876</v>
      </c>
      <c r="E2130" t="s">
        <v>6789</v>
      </c>
      <c r="F2130" t="s">
        <v>7297</v>
      </c>
      <c r="G2130" t="s">
        <v>7911</v>
      </c>
      <c r="H2130" s="214">
        <v>296.77055999999999</v>
      </c>
      <c r="I2130" s="425">
        <v>11.063739999999999</v>
      </c>
      <c r="J2130" s="91">
        <v>36.659999999999997</v>
      </c>
      <c r="K2130" s="425">
        <v>3362.49449</v>
      </c>
      <c r="L2130" s="542" t="s">
        <v>621</v>
      </c>
    </row>
    <row r="2131" spans="1:12" ht="15">
      <c r="A2131">
        <v>462019</v>
      </c>
      <c r="B2131" t="str">
        <f t="shared" si="90"/>
        <v>SEVROLL Gemini spodné vedenie 2,35m oliva new</v>
      </c>
      <c r="C2131" s="209">
        <f t="shared" si="91"/>
        <v>15.35425</v>
      </c>
      <c r="D2131" t="s">
        <v>5877</v>
      </c>
      <c r="E2131" t="s">
        <v>6790</v>
      </c>
      <c r="F2131" t="s">
        <v>7298</v>
      </c>
      <c r="G2131" t="s">
        <v>7912</v>
      </c>
      <c r="H2131" s="214">
        <v>412.06272000000001</v>
      </c>
      <c r="I2131" s="425">
        <v>15.35425</v>
      </c>
      <c r="J2131" s="91">
        <v>50.62</v>
      </c>
      <c r="K2131" s="425">
        <v>4668.7872799999996</v>
      </c>
      <c r="L2131" s="542" t="s">
        <v>621</v>
      </c>
    </row>
    <row r="2132" spans="1:12" ht="15">
      <c r="A2132">
        <v>462020</v>
      </c>
      <c r="B2132" t="str">
        <f t="shared" si="90"/>
        <v>SEVROLL Gemini spodné vedenie 3m oliva new</v>
      </c>
      <c r="C2132" s="209">
        <f t="shared" si="91"/>
        <v>19.57245</v>
      </c>
      <c r="D2132" t="s">
        <v>5878</v>
      </c>
      <c r="E2132" t="s">
        <v>6791</v>
      </c>
      <c r="F2132" t="s">
        <v>7299</v>
      </c>
      <c r="G2132" t="s">
        <v>7913</v>
      </c>
      <c r="H2132" s="214">
        <v>525.21983999999998</v>
      </c>
      <c r="I2132" s="425">
        <v>19.57245</v>
      </c>
      <c r="J2132" s="91">
        <v>64.650000000000006</v>
      </c>
      <c r="K2132" s="425">
        <v>5950.88951</v>
      </c>
      <c r="L2132" s="542" t="s">
        <v>621</v>
      </c>
    </row>
    <row r="2133" spans="1:12" ht="15">
      <c r="A2133">
        <v>462021</v>
      </c>
      <c r="B2133" t="str">
        <f t="shared" si="90"/>
        <v>SEVROLL Gemini II spodné vedenie 4,05m oliva new</v>
      </c>
      <c r="C2133" s="209">
        <f t="shared" si="91"/>
        <v>26.321570000000001</v>
      </c>
      <c r="D2133" t="s">
        <v>5879</v>
      </c>
      <c r="E2133" t="s">
        <v>6792</v>
      </c>
      <c r="F2133" t="s">
        <v>7300</v>
      </c>
      <c r="G2133" t="s">
        <v>7914</v>
      </c>
      <c r="H2133" s="214">
        <v>706.69824000000006</v>
      </c>
      <c r="I2133" s="425">
        <v>26.321570000000001</v>
      </c>
      <c r="J2133" s="91">
        <v>87.23</v>
      </c>
      <c r="K2133" s="425">
        <v>8007.0911599999999</v>
      </c>
      <c r="L2133" s="542" t="s">
        <v>621</v>
      </c>
    </row>
    <row r="2134" spans="1:12" ht="15">
      <c r="A2134">
        <v>462022</v>
      </c>
      <c r="B2134" t="str">
        <f t="shared" si="90"/>
        <v>SEVROLL Gemini spodné vedenie 6m oliva new</v>
      </c>
      <c r="C2134" s="209">
        <f t="shared" si="91"/>
        <v>39.024380000000001</v>
      </c>
      <c r="D2134" t="s">
        <v>5880</v>
      </c>
      <c r="E2134" t="s">
        <v>6793</v>
      </c>
      <c r="F2134" t="s">
        <v>7301</v>
      </c>
      <c r="G2134" t="s">
        <v>7915</v>
      </c>
      <c r="H2134" s="214">
        <v>1047.5929599999999</v>
      </c>
      <c r="I2134" s="425">
        <v>39.024380000000001</v>
      </c>
      <c r="J2134" s="91">
        <v>129.28</v>
      </c>
      <c r="K2134" s="425">
        <v>11869.524869999999</v>
      </c>
      <c r="L2134" s="542" t="s">
        <v>621</v>
      </c>
    </row>
    <row r="2135" spans="1:12" ht="15">
      <c r="A2135">
        <v>462023</v>
      </c>
      <c r="B2135" t="str">
        <f t="shared" si="90"/>
        <v>SEVROLL maska Elegant II 2,35 m oliva new</v>
      </c>
      <c r="C2135" s="209">
        <f t="shared" si="91"/>
        <v>4.6279700000000004</v>
      </c>
      <c r="D2135" t="s">
        <v>5881</v>
      </c>
      <c r="E2135" t="s">
        <v>6794</v>
      </c>
      <c r="F2135" t="s">
        <v>7302</v>
      </c>
      <c r="G2135" t="s">
        <v>7916</v>
      </c>
      <c r="H2135" s="214">
        <v>133.65093999999999</v>
      </c>
      <c r="I2135" s="425">
        <v>4.6279700000000004</v>
      </c>
      <c r="J2135" s="91">
        <v>15.32</v>
      </c>
      <c r="K2135" s="425">
        <v>1451.4364599999999</v>
      </c>
      <c r="L2135" s="542" t="s">
        <v>621</v>
      </c>
    </row>
    <row r="2136" spans="1:12" ht="15">
      <c r="A2136">
        <v>462024</v>
      </c>
      <c r="B2136" t="str">
        <f t="shared" si="90"/>
        <v>SEVROLL Elegant II spodné vedenie 1,7m oliva new</v>
      </c>
      <c r="C2136" s="209">
        <f t="shared" si="91"/>
        <v>10.798590000000001</v>
      </c>
      <c r="D2136" t="s">
        <v>5882</v>
      </c>
      <c r="E2136" t="s">
        <v>6795</v>
      </c>
      <c r="F2136" t="s">
        <v>7303</v>
      </c>
      <c r="G2136" t="s">
        <v>7917</v>
      </c>
      <c r="H2136" s="214">
        <v>289.65375999999998</v>
      </c>
      <c r="I2136" s="425">
        <v>10.798590000000001</v>
      </c>
      <c r="J2136" s="91">
        <v>40.07</v>
      </c>
      <c r="K2136" s="425">
        <v>3281.8591299999998</v>
      </c>
      <c r="L2136" s="542" t="s">
        <v>621</v>
      </c>
    </row>
    <row r="2137" spans="1:12" ht="15">
      <c r="A2137">
        <v>462025</v>
      </c>
      <c r="B2137" t="str">
        <f t="shared" si="90"/>
        <v>SEVROLL Rekord úchytková lišta 18mm 2,70m oliva new</v>
      </c>
      <c r="C2137" s="209">
        <f t="shared" si="91"/>
        <v>16.866510000000002</v>
      </c>
      <c r="D2137" t="s">
        <v>5883</v>
      </c>
      <c r="E2137" t="s">
        <v>6796</v>
      </c>
      <c r="F2137" t="s">
        <v>7304</v>
      </c>
      <c r="G2137" t="s">
        <v>7918</v>
      </c>
      <c r="H2137" s="214">
        <v>391.06259999999997</v>
      </c>
      <c r="I2137" s="425">
        <v>16.866510000000002</v>
      </c>
      <c r="J2137" s="91">
        <v>55.7</v>
      </c>
      <c r="K2137" s="425">
        <v>4201.10221</v>
      </c>
      <c r="L2137" s="542" t="s">
        <v>621</v>
      </c>
    </row>
    <row r="2138" spans="1:12" ht="15">
      <c r="A2138">
        <v>462026</v>
      </c>
      <c r="B2138" t="str">
        <f t="shared" si="90"/>
        <v>SEVROLL maska Elegant II 3m oliva new</v>
      </c>
      <c r="C2138" s="209">
        <f t="shared" si="91"/>
        <v>5.9054799999999998</v>
      </c>
      <c r="D2138" t="s">
        <v>5884</v>
      </c>
      <c r="E2138" t="s">
        <v>6797</v>
      </c>
      <c r="F2138" t="s">
        <v>7305</v>
      </c>
      <c r="G2138" t="s">
        <v>7919</v>
      </c>
      <c r="H2138" s="214">
        <v>170.47675000000001</v>
      </c>
      <c r="I2138" s="425">
        <v>5.9054799999999998</v>
      </c>
      <c r="J2138" s="91">
        <v>19.53</v>
      </c>
      <c r="K2138" s="425">
        <v>1854.6132600000001</v>
      </c>
      <c r="L2138" s="542" t="s">
        <v>621</v>
      </c>
    </row>
    <row r="2139" spans="1:12" ht="15">
      <c r="A2139">
        <v>256367</v>
      </c>
      <c r="B2139" t="e">
        <f t="shared" si="90"/>
        <v>#N/A</v>
      </c>
      <c r="C2139" s="209" t="e">
        <f t="shared" si="91"/>
        <v>#N/A</v>
      </c>
      <c r="D2139" t="s">
        <v>5885</v>
      </c>
      <c r="E2139" t="e">
        <v>#N/A</v>
      </c>
      <c r="F2139" t="e">
        <v>#N/A</v>
      </c>
      <c r="G2139" t="e">
        <v>#N/A</v>
      </c>
      <c r="H2139" s="214">
        <v>320.21413000000001</v>
      </c>
      <c r="I2139" s="425" t="e">
        <v>#N/A</v>
      </c>
      <c r="J2139" s="91">
        <v>59.800510000000003</v>
      </c>
      <c r="K2139" s="425">
        <v>4676.19877</v>
      </c>
      <c r="L2139" s="542" t="s">
        <v>622</v>
      </c>
    </row>
    <row r="2140" spans="1:12" ht="15">
      <c r="A2140">
        <v>301637</v>
      </c>
      <c r="B2140" t="e">
        <f t="shared" si="90"/>
        <v>#N/A</v>
      </c>
      <c r="C2140" s="209" t="e">
        <f t="shared" si="91"/>
        <v>#N/A</v>
      </c>
      <c r="D2140" t="s">
        <v>5886</v>
      </c>
      <c r="E2140" t="e">
        <v>#N/A</v>
      </c>
      <c r="F2140" t="e">
        <v>#N/A</v>
      </c>
      <c r="G2140" t="e">
        <v>#N/A</v>
      </c>
      <c r="H2140" s="214">
        <v>0</v>
      </c>
      <c r="I2140" s="425" t="e">
        <v>#N/A</v>
      </c>
      <c r="J2140" s="91">
        <v>0</v>
      </c>
      <c r="K2140" s="425">
        <v>0</v>
      </c>
      <c r="L2140" s="542" t="s">
        <v>624</v>
      </c>
    </row>
    <row r="2141" spans="1:12" ht="15">
      <c r="A2141">
        <v>301638</v>
      </c>
      <c r="B2141" t="e">
        <f t="shared" si="90"/>
        <v>#N/A</v>
      </c>
      <c r="C2141" s="209" t="e">
        <f t="shared" si="91"/>
        <v>#N/A</v>
      </c>
      <c r="D2141" t="s">
        <v>5887</v>
      </c>
      <c r="E2141" t="e">
        <v>#N/A</v>
      </c>
      <c r="F2141" t="e">
        <v>#N/A</v>
      </c>
      <c r="G2141" t="e">
        <v>#N/A</v>
      </c>
      <c r="H2141" s="214">
        <v>0</v>
      </c>
      <c r="I2141" s="425" t="e">
        <v>#N/A</v>
      </c>
      <c r="J2141" s="91">
        <v>0</v>
      </c>
      <c r="K2141" s="425">
        <v>0</v>
      </c>
      <c r="L2141" s="542" t="s">
        <v>624</v>
      </c>
    </row>
    <row r="2142" spans="1:12" ht="15">
      <c r="A2142">
        <v>301639</v>
      </c>
      <c r="B2142" t="e">
        <f t="shared" si="90"/>
        <v>#N/A</v>
      </c>
      <c r="C2142" s="209" t="e">
        <f t="shared" si="91"/>
        <v>#N/A</v>
      </c>
      <c r="D2142" t="s">
        <v>5888</v>
      </c>
      <c r="E2142" t="e">
        <v>#N/A</v>
      </c>
      <c r="F2142" t="e">
        <v>#N/A</v>
      </c>
      <c r="G2142" t="e">
        <v>#N/A</v>
      </c>
      <c r="H2142" s="214">
        <v>0</v>
      </c>
      <c r="I2142" s="425" t="e">
        <v>#N/A</v>
      </c>
      <c r="J2142" s="91">
        <v>0</v>
      </c>
      <c r="K2142" s="425">
        <v>0</v>
      </c>
      <c r="L2142" s="542" t="s">
        <v>624</v>
      </c>
    </row>
    <row r="2143" spans="1:12" ht="15">
      <c r="A2143">
        <v>301750</v>
      </c>
      <c r="B2143" t="str">
        <f t="shared" si="90"/>
        <v>SEVROLL akcia HU</v>
      </c>
      <c r="C2143" s="209" t="e">
        <f t="shared" si="91"/>
        <v>#N/A</v>
      </c>
      <c r="D2143" t="s">
        <v>5889</v>
      </c>
      <c r="E2143" t="s">
        <v>6798</v>
      </c>
      <c r="F2143" t="s">
        <v>7306</v>
      </c>
      <c r="G2143" t="s">
        <v>7920</v>
      </c>
      <c r="H2143" s="214">
        <v>0</v>
      </c>
      <c r="I2143" s="425" t="e">
        <v>#N/A</v>
      </c>
      <c r="J2143" s="91">
        <v>0</v>
      </c>
      <c r="K2143" s="425">
        <v>0</v>
      </c>
      <c r="L2143" s="542" t="s">
        <v>624</v>
      </c>
    </row>
    <row r="2144" spans="1:12" ht="15">
      <c r="A2144">
        <v>301779</v>
      </c>
      <c r="B2144" t="str">
        <f t="shared" si="90"/>
        <v>SEVROLL samolepka Doživotná záruka veľká CZ</v>
      </c>
      <c r="C2144" s="209" t="e">
        <f t="shared" si="91"/>
        <v>#N/A</v>
      </c>
      <c r="D2144" t="s">
        <v>5682</v>
      </c>
      <c r="E2144" t="s">
        <v>6799</v>
      </c>
      <c r="F2144" t="s">
        <v>7307</v>
      </c>
      <c r="G2144" t="s">
        <v>7921</v>
      </c>
      <c r="H2144" s="214">
        <v>0</v>
      </c>
      <c r="I2144" s="425" t="e">
        <v>#N/A</v>
      </c>
      <c r="J2144" s="91">
        <v>0</v>
      </c>
      <c r="K2144" s="425">
        <v>0</v>
      </c>
      <c r="L2144" s="542" t="s">
        <v>624</v>
      </c>
    </row>
    <row r="2145" spans="1:12" ht="15">
      <c r="A2145">
        <v>301780</v>
      </c>
      <c r="B2145" t="str">
        <f t="shared" si="90"/>
        <v>SEVROLL samolepka Doživotná záruka veľká SK</v>
      </c>
      <c r="C2145" s="209" t="e">
        <f t="shared" si="91"/>
        <v>#N/A</v>
      </c>
      <c r="D2145" t="s">
        <v>5683</v>
      </c>
      <c r="E2145" t="s">
        <v>6800</v>
      </c>
      <c r="F2145" t="s">
        <v>7308</v>
      </c>
      <c r="G2145" t="s">
        <v>7922</v>
      </c>
      <c r="H2145" s="214">
        <v>0</v>
      </c>
      <c r="I2145" s="425" t="e">
        <v>#N/A</v>
      </c>
      <c r="J2145" s="91">
        <v>0</v>
      </c>
      <c r="K2145" s="425">
        <v>0</v>
      </c>
      <c r="L2145" s="542" t="s">
        <v>624</v>
      </c>
    </row>
    <row r="2146" spans="1:12" ht="15">
      <c r="A2146">
        <v>301781</v>
      </c>
      <c r="B2146" t="str">
        <f t="shared" si="90"/>
        <v>SEVROLL samolepka Doživotná záruka veľká HU</v>
      </c>
      <c r="C2146" s="209" t="e">
        <f t="shared" si="91"/>
        <v>#N/A</v>
      </c>
      <c r="D2146" t="s">
        <v>5684</v>
      </c>
      <c r="E2146" t="s">
        <v>6801</v>
      </c>
      <c r="F2146" t="s">
        <v>7309</v>
      </c>
      <c r="G2146" t="s">
        <v>7923</v>
      </c>
      <c r="H2146" s="214">
        <v>0</v>
      </c>
      <c r="I2146" s="425" t="e">
        <v>#N/A</v>
      </c>
      <c r="J2146" s="91">
        <v>0</v>
      </c>
      <c r="K2146" s="425">
        <v>0</v>
      </c>
      <c r="L2146" s="542" t="s">
        <v>624</v>
      </c>
    </row>
    <row r="2147" spans="1:12" ht="15">
      <c r="A2147">
        <v>301782</v>
      </c>
      <c r="B2147" t="str">
        <f t="shared" si="90"/>
        <v>SEVROLL samolepka Doživotná záruka malá CZ</v>
      </c>
      <c r="C2147" s="209" t="e">
        <f t="shared" si="91"/>
        <v>#N/A</v>
      </c>
      <c r="D2147" t="s">
        <v>5685</v>
      </c>
      <c r="E2147" t="s">
        <v>6802</v>
      </c>
      <c r="F2147" t="s">
        <v>7310</v>
      </c>
      <c r="G2147" t="s">
        <v>7924</v>
      </c>
      <c r="H2147" s="214">
        <v>0</v>
      </c>
      <c r="I2147" s="425" t="e">
        <v>#N/A</v>
      </c>
      <c r="J2147" s="91">
        <v>0</v>
      </c>
      <c r="K2147" s="425">
        <v>0</v>
      </c>
      <c r="L2147" s="542" t="s">
        <v>624</v>
      </c>
    </row>
    <row r="2148" spans="1:12" ht="15">
      <c r="A2148">
        <v>301783</v>
      </c>
      <c r="B2148" t="str">
        <f t="shared" si="90"/>
        <v>SEVROLL samolepka Doživotná záruka malá SK</v>
      </c>
      <c r="C2148" s="209" t="e">
        <f t="shared" si="91"/>
        <v>#N/A</v>
      </c>
      <c r="D2148" t="s">
        <v>5686</v>
      </c>
      <c r="E2148" t="s">
        <v>6803</v>
      </c>
      <c r="F2148" t="s">
        <v>7311</v>
      </c>
      <c r="G2148" t="s">
        <v>7925</v>
      </c>
      <c r="H2148" s="214">
        <v>0</v>
      </c>
      <c r="I2148" s="425" t="e">
        <v>#N/A</v>
      </c>
      <c r="J2148" s="91">
        <v>0</v>
      </c>
      <c r="K2148" s="425">
        <v>0</v>
      </c>
      <c r="L2148" s="542" t="s">
        <v>624</v>
      </c>
    </row>
    <row r="2149" spans="1:12" ht="15">
      <c r="A2149">
        <v>301784</v>
      </c>
      <c r="B2149" t="str">
        <f t="shared" si="90"/>
        <v>SEVROLL samolepka Doživotná záruka malá HU</v>
      </c>
      <c r="C2149" s="209" t="e">
        <f t="shared" si="91"/>
        <v>#N/A</v>
      </c>
      <c r="D2149" t="s">
        <v>5687</v>
      </c>
      <c r="E2149" t="s">
        <v>6804</v>
      </c>
      <c r="F2149" t="s">
        <v>7312</v>
      </c>
      <c r="G2149" t="s">
        <v>7926</v>
      </c>
      <c r="H2149" s="214">
        <v>0</v>
      </c>
      <c r="I2149" s="425" t="e">
        <v>#N/A</v>
      </c>
      <c r="J2149" s="91">
        <v>0</v>
      </c>
      <c r="K2149" s="425">
        <v>0</v>
      </c>
      <c r="L2149" s="542" t="s">
        <v>624</v>
      </c>
    </row>
    <row r="2150" spans="1:12" ht="15">
      <c r="A2150">
        <v>373932</v>
      </c>
      <c r="B2150" t="e">
        <f t="shared" si="90"/>
        <v>#N/A</v>
      </c>
      <c r="C2150" s="209" t="e">
        <f t="shared" si="91"/>
        <v>#N/A</v>
      </c>
      <c r="D2150" t="s">
        <v>5890</v>
      </c>
      <c r="E2150" t="e">
        <v>#N/A</v>
      </c>
      <c r="F2150" t="e">
        <v>#N/A</v>
      </c>
      <c r="G2150" t="e">
        <v>#N/A</v>
      </c>
      <c r="H2150" s="214">
        <v>7362.7</v>
      </c>
      <c r="I2150" s="425" t="e">
        <v>#N/A</v>
      </c>
      <c r="J2150" s="91">
        <v>0</v>
      </c>
      <c r="K2150" s="425">
        <v>77766.574590000004</v>
      </c>
      <c r="L2150" s="542" t="s">
        <v>622</v>
      </c>
    </row>
    <row r="2151" spans="1:12" ht="15">
      <c r="A2151">
        <v>373933</v>
      </c>
      <c r="B2151" t="e">
        <f t="shared" si="90"/>
        <v>#N/A</v>
      </c>
      <c r="C2151" s="209" t="e">
        <f t="shared" si="91"/>
        <v>#N/A</v>
      </c>
      <c r="D2151" t="s">
        <v>5891</v>
      </c>
      <c r="E2151" t="e">
        <v>#N/A</v>
      </c>
      <c r="F2151" t="e">
        <v>#N/A</v>
      </c>
      <c r="G2151" t="e">
        <v>#N/A</v>
      </c>
      <c r="H2151" s="214">
        <v>11022.8</v>
      </c>
      <c r="I2151" s="425" t="e">
        <v>#N/A</v>
      </c>
      <c r="J2151" s="91">
        <v>0</v>
      </c>
      <c r="K2151" s="425">
        <v>116425.41437</v>
      </c>
      <c r="L2151" s="542" t="s">
        <v>622</v>
      </c>
    </row>
    <row r="2152" spans="1:12" ht="15">
      <c r="A2152">
        <v>373934</v>
      </c>
      <c r="B2152" t="e">
        <f t="shared" si="90"/>
        <v>#N/A</v>
      </c>
      <c r="C2152" s="209" t="e">
        <f t="shared" si="91"/>
        <v>#N/A</v>
      </c>
      <c r="D2152" t="s">
        <v>5892</v>
      </c>
      <c r="E2152" t="e">
        <v>#N/A</v>
      </c>
      <c r="F2152" t="e">
        <v>#N/A</v>
      </c>
      <c r="G2152" t="e">
        <v>#N/A</v>
      </c>
      <c r="H2152" s="214">
        <v>9514.9</v>
      </c>
      <c r="I2152" s="425" t="e">
        <v>#N/A</v>
      </c>
      <c r="J2152" s="91">
        <v>0</v>
      </c>
      <c r="K2152" s="425">
        <v>100498.61878</v>
      </c>
      <c r="L2152" s="542" t="s">
        <v>622</v>
      </c>
    </row>
    <row r="2153" spans="1:12" ht="15">
      <c r="A2153">
        <v>373935</v>
      </c>
      <c r="B2153" t="e">
        <f t="shared" si="90"/>
        <v>#N/A</v>
      </c>
      <c r="C2153" s="209" t="e">
        <f t="shared" si="91"/>
        <v>#N/A</v>
      </c>
      <c r="D2153" t="s">
        <v>5893</v>
      </c>
      <c r="E2153" t="e">
        <v>#N/A</v>
      </c>
      <c r="F2153" t="e">
        <v>#N/A</v>
      </c>
      <c r="G2153" t="e">
        <v>#N/A</v>
      </c>
      <c r="H2153" s="214">
        <v>3920.71</v>
      </c>
      <c r="I2153" s="425" t="e">
        <v>#N/A</v>
      </c>
      <c r="J2153" s="91">
        <v>0</v>
      </c>
      <c r="K2153" s="425">
        <v>41411.464090000001</v>
      </c>
      <c r="L2153" s="542" t="s">
        <v>622</v>
      </c>
    </row>
    <row r="2154" spans="1:12" ht="15">
      <c r="A2154">
        <v>373936</v>
      </c>
      <c r="B2154" t="e">
        <f t="shared" si="90"/>
        <v>#N/A</v>
      </c>
      <c r="C2154" s="209" t="e">
        <f t="shared" si="91"/>
        <v>#N/A</v>
      </c>
      <c r="D2154" t="s">
        <v>5894</v>
      </c>
      <c r="E2154" t="e">
        <v>#N/A</v>
      </c>
      <c r="F2154" t="e">
        <v>#N/A</v>
      </c>
      <c r="G2154" t="e">
        <v>#N/A</v>
      </c>
      <c r="H2154" s="214">
        <v>15561.8</v>
      </c>
      <c r="I2154" s="425" t="e">
        <v>#N/A</v>
      </c>
      <c r="J2154" s="91">
        <v>0</v>
      </c>
      <c r="K2154" s="425">
        <v>164367.40332000001</v>
      </c>
      <c r="L2154" s="542" t="s">
        <v>622</v>
      </c>
    </row>
    <row r="2155" spans="1:12" ht="15">
      <c r="A2155">
        <v>373937</v>
      </c>
      <c r="B2155" t="e">
        <f t="shared" si="90"/>
        <v>#N/A</v>
      </c>
      <c r="C2155" s="209" t="e">
        <f t="shared" si="91"/>
        <v>#N/A</v>
      </c>
      <c r="D2155" t="s">
        <v>5895</v>
      </c>
      <c r="E2155" t="e">
        <v>#N/A</v>
      </c>
      <c r="F2155" t="e">
        <v>#N/A</v>
      </c>
      <c r="G2155" t="e">
        <v>#N/A</v>
      </c>
      <c r="H2155" s="214">
        <v>29523.9</v>
      </c>
      <c r="I2155" s="425" t="e">
        <v>#N/A</v>
      </c>
      <c r="J2155" s="91">
        <v>0</v>
      </c>
      <c r="K2155" s="425">
        <v>311838.39779000002</v>
      </c>
      <c r="L2155" s="542" t="s">
        <v>622</v>
      </c>
    </row>
    <row r="2156" spans="1:12" ht="15">
      <c r="A2156">
        <v>373938</v>
      </c>
      <c r="B2156" t="e">
        <f t="shared" si="90"/>
        <v>#N/A</v>
      </c>
      <c r="C2156" s="209" t="e">
        <f t="shared" si="91"/>
        <v>#N/A</v>
      </c>
      <c r="D2156" t="s">
        <v>5896</v>
      </c>
      <c r="E2156" t="e">
        <v>#N/A</v>
      </c>
      <c r="F2156" t="e">
        <v>#N/A</v>
      </c>
      <c r="G2156" t="e">
        <v>#N/A</v>
      </c>
      <c r="H2156" s="214">
        <v>29246.799999999999</v>
      </c>
      <c r="I2156" s="425" t="e">
        <v>#N/A</v>
      </c>
      <c r="J2156" s="91">
        <v>0</v>
      </c>
      <c r="K2156" s="425">
        <v>308911.60220999998</v>
      </c>
      <c r="L2156" s="542" t="s">
        <v>622</v>
      </c>
    </row>
    <row r="2157" spans="1:12" ht="15">
      <c r="A2157">
        <v>373939</v>
      </c>
      <c r="B2157" t="e">
        <f t="shared" si="90"/>
        <v>#N/A</v>
      </c>
      <c r="C2157" s="209" t="e">
        <f t="shared" si="91"/>
        <v>#N/A</v>
      </c>
      <c r="D2157" t="s">
        <v>5897</v>
      </c>
      <c r="E2157" t="e">
        <v>#N/A</v>
      </c>
      <c r="F2157" t="e">
        <v>#N/A</v>
      </c>
      <c r="G2157" t="e">
        <v>#N/A</v>
      </c>
      <c r="H2157" s="214">
        <v>8972.26</v>
      </c>
      <c r="I2157" s="425" t="e">
        <v>#N/A</v>
      </c>
      <c r="J2157" s="91">
        <v>0</v>
      </c>
      <c r="K2157" s="425">
        <v>94767.127080000006</v>
      </c>
      <c r="L2157" s="542" t="s">
        <v>622</v>
      </c>
    </row>
    <row r="2158" spans="1:12" ht="15">
      <c r="A2158">
        <v>373940</v>
      </c>
      <c r="B2158" t="e">
        <f t="shared" si="90"/>
        <v>#N/A</v>
      </c>
      <c r="C2158" s="209" t="e">
        <f t="shared" si="91"/>
        <v>#N/A</v>
      </c>
      <c r="D2158" t="s">
        <v>5898</v>
      </c>
      <c r="E2158" t="e">
        <v>#N/A</v>
      </c>
      <c r="F2158" t="e">
        <v>#N/A</v>
      </c>
      <c r="G2158" t="e">
        <v>#N/A</v>
      </c>
      <c r="H2158" s="214">
        <v>10228.9</v>
      </c>
      <c r="I2158" s="425" t="e">
        <v>#N/A</v>
      </c>
      <c r="J2158" s="91">
        <v>0</v>
      </c>
      <c r="K2158" s="425">
        <v>108040.05525</v>
      </c>
      <c r="L2158" s="542" t="s">
        <v>622</v>
      </c>
    </row>
    <row r="2159" spans="1:12" ht="15">
      <c r="A2159">
        <v>373941</v>
      </c>
      <c r="B2159" t="e">
        <f t="shared" si="90"/>
        <v>#N/A</v>
      </c>
      <c r="C2159" s="209" t="e">
        <f t="shared" si="91"/>
        <v>#N/A</v>
      </c>
      <c r="D2159" t="s">
        <v>5899</v>
      </c>
      <c r="E2159" t="e">
        <v>#N/A</v>
      </c>
      <c r="F2159" t="e">
        <v>#N/A</v>
      </c>
      <c r="G2159" t="e">
        <v>#N/A</v>
      </c>
      <c r="H2159" s="214">
        <v>15570.3</v>
      </c>
      <c r="I2159" s="425" t="e">
        <v>#N/A</v>
      </c>
      <c r="J2159" s="91">
        <v>0</v>
      </c>
      <c r="K2159" s="425">
        <v>164457.18231999999</v>
      </c>
      <c r="L2159" s="542" t="s">
        <v>622</v>
      </c>
    </row>
    <row r="2160" spans="1:12" ht="15">
      <c r="A2160">
        <v>373942</v>
      </c>
      <c r="B2160" t="e">
        <f t="shared" si="90"/>
        <v>#N/A</v>
      </c>
      <c r="C2160" s="209" t="e">
        <f t="shared" si="91"/>
        <v>#N/A</v>
      </c>
      <c r="D2160" t="s">
        <v>5900</v>
      </c>
      <c r="E2160" t="e">
        <v>#N/A</v>
      </c>
      <c r="F2160" t="e">
        <v>#N/A</v>
      </c>
      <c r="G2160" t="e">
        <v>#N/A</v>
      </c>
      <c r="H2160" s="214">
        <v>8865.5</v>
      </c>
      <c r="I2160" s="425" t="e">
        <v>#N/A</v>
      </c>
      <c r="J2160" s="91">
        <v>0</v>
      </c>
      <c r="K2160" s="425">
        <v>93639.502760000003</v>
      </c>
      <c r="L2160" s="542" t="s">
        <v>622</v>
      </c>
    </row>
    <row r="2161" spans="1:12" ht="15">
      <c r="A2161">
        <v>373943</v>
      </c>
      <c r="B2161" t="e">
        <f t="shared" si="90"/>
        <v>#N/A</v>
      </c>
      <c r="C2161" s="209" t="e">
        <f t="shared" si="91"/>
        <v>#N/A</v>
      </c>
      <c r="D2161" t="s">
        <v>5901</v>
      </c>
      <c r="E2161" t="e">
        <v>#N/A</v>
      </c>
      <c r="F2161" t="e">
        <v>#N/A</v>
      </c>
      <c r="G2161" t="e">
        <v>#N/A</v>
      </c>
      <c r="H2161" s="214">
        <v>15264.3</v>
      </c>
      <c r="I2161" s="425" t="e">
        <v>#N/A</v>
      </c>
      <c r="J2161" s="91">
        <v>0</v>
      </c>
      <c r="K2161" s="425">
        <v>161225.13813000001</v>
      </c>
      <c r="L2161" s="542" t="s">
        <v>622</v>
      </c>
    </row>
    <row r="2162" spans="1:12" ht="15">
      <c r="A2162">
        <v>374809</v>
      </c>
      <c r="B2162" t="str">
        <f t="shared" si="90"/>
        <v/>
      </c>
      <c r="C2162" s="209" t="e">
        <f t="shared" si="91"/>
        <v>#N/A</v>
      </c>
      <c r="D2162" t="s">
        <v>5902</v>
      </c>
      <c r="E2162" t="s">
        <v>6805</v>
      </c>
      <c r="F2162" t="s">
        <v>84</v>
      </c>
      <c r="G2162" t="s">
        <v>7927</v>
      </c>
      <c r="H2162" s="214">
        <v>0</v>
      </c>
      <c r="I2162" s="425" t="e">
        <v>#N/A</v>
      </c>
      <c r="J2162" s="91">
        <v>0</v>
      </c>
      <c r="K2162" s="425">
        <v>0</v>
      </c>
      <c r="L2162" s="542" t="s">
        <v>622</v>
      </c>
    </row>
    <row r="2163" spans="1:12" ht="15">
      <c r="A2163">
        <v>374810</v>
      </c>
      <c r="B2163" t="str">
        <f t="shared" si="90"/>
        <v/>
      </c>
      <c r="C2163" s="209" t="e">
        <f t="shared" si="91"/>
        <v>#N/A</v>
      </c>
      <c r="D2163" t="s">
        <v>5903</v>
      </c>
      <c r="E2163" t="s">
        <v>6806</v>
      </c>
      <c r="F2163" t="s">
        <v>84</v>
      </c>
      <c r="G2163" t="s">
        <v>7445</v>
      </c>
      <c r="H2163" s="214">
        <v>0</v>
      </c>
      <c r="I2163" s="425" t="e">
        <v>#N/A</v>
      </c>
      <c r="J2163" s="91">
        <v>0</v>
      </c>
      <c r="K2163" s="425">
        <v>0</v>
      </c>
      <c r="L2163" s="542" t="s">
        <v>622</v>
      </c>
    </row>
    <row r="2164" spans="1:12" ht="15">
      <c r="A2164">
        <v>374812</v>
      </c>
      <c r="B2164" t="str">
        <f t="shared" si="90"/>
        <v/>
      </c>
      <c r="C2164" s="209" t="e">
        <f t="shared" si="91"/>
        <v>#N/A</v>
      </c>
      <c r="D2164" t="s">
        <v>5904</v>
      </c>
      <c r="E2164" t="s">
        <v>6807</v>
      </c>
      <c r="F2164" t="s">
        <v>84</v>
      </c>
      <c r="G2164" t="s">
        <v>7928</v>
      </c>
      <c r="H2164" s="214">
        <v>0</v>
      </c>
      <c r="I2164" s="425" t="e">
        <v>#N/A</v>
      </c>
      <c r="J2164" s="91">
        <v>0</v>
      </c>
      <c r="K2164" s="425">
        <v>0</v>
      </c>
      <c r="L2164" s="542" t="s">
        <v>622</v>
      </c>
    </row>
    <row r="2165" spans="1:12" ht="15">
      <c r="A2165">
        <v>374813</v>
      </c>
      <c r="B2165" t="str">
        <f t="shared" si="90"/>
        <v>SEVROLL uholník 17x11mm 3m RAL9003 mat</v>
      </c>
      <c r="C2165" s="209" t="e">
        <f t="shared" si="91"/>
        <v>#N/A</v>
      </c>
      <c r="D2165" t="s">
        <v>5905</v>
      </c>
      <c r="E2165" t="s">
        <v>6808</v>
      </c>
      <c r="F2165" t="s">
        <v>3216</v>
      </c>
      <c r="G2165" t="s">
        <v>84</v>
      </c>
      <c r="H2165" s="214">
        <v>0</v>
      </c>
      <c r="I2165" s="425" t="e">
        <v>#N/A</v>
      </c>
      <c r="J2165" s="91">
        <v>0</v>
      </c>
      <c r="K2165" s="425">
        <v>0</v>
      </c>
      <c r="L2165" s="542" t="s">
        <v>622</v>
      </c>
    </row>
    <row r="2166" spans="1:12" ht="15">
      <c r="A2166">
        <v>374814</v>
      </c>
      <c r="B2166" t="str">
        <f t="shared" si="90"/>
        <v>SEVROLL uholník 17x11mm 1,7m RAL9005 mat</v>
      </c>
      <c r="C2166" s="209" t="e">
        <f t="shared" si="91"/>
        <v>#N/A</v>
      </c>
      <c r="D2166" t="s">
        <v>5906</v>
      </c>
      <c r="E2166" t="s">
        <v>6400</v>
      </c>
      <c r="F2166" t="s">
        <v>7013</v>
      </c>
      <c r="G2166" t="s">
        <v>84</v>
      </c>
      <c r="H2166" s="214">
        <v>0</v>
      </c>
      <c r="I2166" s="425" t="e">
        <v>#N/A</v>
      </c>
      <c r="J2166" s="91">
        <v>0</v>
      </c>
      <c r="K2166" s="425">
        <v>0</v>
      </c>
      <c r="L2166" s="542" t="s">
        <v>622</v>
      </c>
    </row>
    <row r="2167" spans="1:12" ht="15">
      <c r="A2167">
        <v>375036</v>
      </c>
      <c r="B2167" t="e">
        <f t="shared" si="90"/>
        <v>#N/A</v>
      </c>
      <c r="C2167" s="209" t="e">
        <f t="shared" si="91"/>
        <v>#N/A</v>
      </c>
      <c r="D2167" t="s">
        <v>5907</v>
      </c>
      <c r="E2167" t="e">
        <v>#N/A</v>
      </c>
      <c r="F2167" t="e">
        <v>#N/A</v>
      </c>
      <c r="G2167" t="e">
        <v>#N/A</v>
      </c>
      <c r="H2167" s="214">
        <v>261.21375</v>
      </c>
      <c r="I2167" s="425" t="e">
        <v>#N/A</v>
      </c>
      <c r="J2167" s="91">
        <v>48.784619999999997</v>
      </c>
      <c r="K2167" s="425">
        <v>3933.8743100000002</v>
      </c>
      <c r="L2167" s="542" t="s">
        <v>622</v>
      </c>
    </row>
    <row r="2168" spans="1:12" ht="15">
      <c r="A2168">
        <v>375038</v>
      </c>
      <c r="B2168" t="e">
        <f t="shared" si="90"/>
        <v>#N/A</v>
      </c>
      <c r="C2168" s="209" t="e">
        <f t="shared" si="91"/>
        <v>#N/A</v>
      </c>
      <c r="D2168" t="s">
        <v>5908</v>
      </c>
      <c r="E2168" t="e">
        <v>#N/A</v>
      </c>
      <c r="F2168" t="e">
        <v>#N/A</v>
      </c>
      <c r="G2168" t="e">
        <v>#N/A</v>
      </c>
      <c r="H2168" s="214">
        <v>354.10473000000002</v>
      </c>
      <c r="I2168" s="425" t="e">
        <v>#N/A</v>
      </c>
      <c r="J2168" s="91">
        <v>66.133070000000004</v>
      </c>
      <c r="K2168" s="425">
        <v>5332.81077</v>
      </c>
      <c r="L2168" s="542" t="s">
        <v>622</v>
      </c>
    </row>
    <row r="2169" spans="1:12" ht="15">
      <c r="A2169">
        <v>375040</v>
      </c>
      <c r="B2169" t="e">
        <f t="shared" si="90"/>
        <v>#N/A</v>
      </c>
      <c r="C2169" s="209" t="e">
        <f t="shared" si="91"/>
        <v>#N/A</v>
      </c>
      <c r="D2169" t="s">
        <v>5909</v>
      </c>
      <c r="E2169" t="e">
        <v>#N/A</v>
      </c>
      <c r="F2169" t="e">
        <v>#N/A</v>
      </c>
      <c r="G2169" t="e">
        <v>#N/A</v>
      </c>
      <c r="H2169" s="214">
        <v>706.82081000000005</v>
      </c>
      <c r="I2169" s="425" t="e">
        <v>#N/A</v>
      </c>
      <c r="J2169" s="91">
        <v>132.00679</v>
      </c>
      <c r="K2169" s="425">
        <v>10644.708559999999</v>
      </c>
      <c r="L2169" s="542" t="s">
        <v>622</v>
      </c>
    </row>
    <row r="2170" spans="1:12" ht="15">
      <c r="A2170">
        <v>375041</v>
      </c>
      <c r="B2170" t="e">
        <f t="shared" si="90"/>
        <v>#N/A</v>
      </c>
      <c r="C2170" s="209" t="e">
        <f t="shared" si="91"/>
        <v>#N/A</v>
      </c>
      <c r="D2170" t="s">
        <v>5910</v>
      </c>
      <c r="E2170" t="e">
        <v>#N/A</v>
      </c>
      <c r="F2170" t="e">
        <v>#N/A</v>
      </c>
      <c r="G2170" t="e">
        <v>#N/A</v>
      </c>
      <c r="H2170" s="214">
        <v>744.24504000000002</v>
      </c>
      <c r="I2170" s="425" t="e">
        <v>#N/A</v>
      </c>
      <c r="J2170" s="91">
        <v>138.98895999999999</v>
      </c>
      <c r="K2170" s="425">
        <v>10868.47041</v>
      </c>
      <c r="L2170" s="542" t="s">
        <v>622</v>
      </c>
    </row>
    <row r="2171" spans="1:12" ht="15">
      <c r="A2171">
        <v>375042</v>
      </c>
      <c r="B2171" t="e">
        <f t="shared" si="90"/>
        <v>#N/A</v>
      </c>
      <c r="C2171" s="209" t="e">
        <f t="shared" si="91"/>
        <v>#N/A</v>
      </c>
      <c r="D2171" t="s">
        <v>5911</v>
      </c>
      <c r="E2171" t="e">
        <v>#N/A</v>
      </c>
      <c r="F2171" t="e">
        <v>#N/A</v>
      </c>
      <c r="G2171" t="e">
        <v>#N/A</v>
      </c>
      <c r="H2171" s="214">
        <v>624.92314999999996</v>
      </c>
      <c r="I2171" s="425" t="e">
        <v>#N/A</v>
      </c>
      <c r="J2171" s="91">
        <v>116.70541</v>
      </c>
      <c r="K2171" s="425">
        <v>9125.9710699999996</v>
      </c>
      <c r="L2171" s="542" t="s">
        <v>622</v>
      </c>
    </row>
    <row r="2172" spans="1:12" ht="15">
      <c r="A2172">
        <v>375047</v>
      </c>
      <c r="B2172" t="e">
        <f t="shared" si="90"/>
        <v>#N/A</v>
      </c>
      <c r="C2172" s="209" t="e">
        <f t="shared" si="91"/>
        <v>#N/A</v>
      </c>
      <c r="D2172" t="s">
        <v>5912</v>
      </c>
      <c r="E2172" t="e">
        <v>#N/A</v>
      </c>
      <c r="F2172" t="e">
        <v>#N/A</v>
      </c>
      <c r="G2172" t="e">
        <v>#N/A</v>
      </c>
      <c r="H2172" s="214">
        <v>990.97844999999995</v>
      </c>
      <c r="I2172" s="425" t="e">
        <v>#N/A</v>
      </c>
      <c r="J2172" s="91">
        <v>185.06683000000001</v>
      </c>
      <c r="K2172" s="425">
        <v>14471.60461</v>
      </c>
      <c r="L2172" s="542" t="s">
        <v>622</v>
      </c>
    </row>
    <row r="2173" spans="1:12" ht="15">
      <c r="A2173">
        <v>375048</v>
      </c>
      <c r="B2173" t="e">
        <f t="shared" si="90"/>
        <v>#N/A</v>
      </c>
      <c r="C2173" s="209" t="e">
        <f t="shared" si="91"/>
        <v>#N/A</v>
      </c>
      <c r="D2173" t="s">
        <v>5913</v>
      </c>
      <c r="E2173" t="e">
        <v>#N/A</v>
      </c>
      <c r="F2173" t="e">
        <v>#N/A</v>
      </c>
      <c r="G2173" t="e">
        <v>#N/A</v>
      </c>
      <c r="H2173" s="214">
        <v>6.9432299999999998</v>
      </c>
      <c r="I2173" s="425" t="e">
        <v>#N/A</v>
      </c>
      <c r="J2173" s="91">
        <v>1.2967200000000001</v>
      </c>
      <c r="K2173" s="425">
        <v>104.56492</v>
      </c>
      <c r="L2173" s="542" t="s">
        <v>622</v>
      </c>
    </row>
    <row r="2174" spans="1:12" ht="15">
      <c r="A2174">
        <v>350696</v>
      </c>
      <c r="B2174" t="str">
        <f t="shared" si="90"/>
        <v>SEVROLL U profil oceľový 6m strieborný</v>
      </c>
      <c r="C2174" s="209">
        <f t="shared" si="91"/>
        <v>47.991059999999997</v>
      </c>
      <c r="D2174" t="s">
        <v>5914</v>
      </c>
      <c r="E2174" t="s">
        <v>6809</v>
      </c>
      <c r="F2174" t="s">
        <v>7313</v>
      </c>
      <c r="G2174" t="s">
        <v>7929</v>
      </c>
      <c r="H2174" s="214">
        <v>1169.6989000000001</v>
      </c>
      <c r="I2174" s="425">
        <v>47.991059999999997</v>
      </c>
      <c r="J2174" s="91">
        <v>171.09</v>
      </c>
      <c r="K2174" s="425">
        <v>16320.65877</v>
      </c>
      <c r="L2174" s="542" t="s">
        <v>622</v>
      </c>
    </row>
    <row r="2175" spans="1:12" ht="15">
      <c r="A2175">
        <v>351137</v>
      </c>
      <c r="B2175" t="e">
        <f t="shared" si="90"/>
        <v>#N/A</v>
      </c>
      <c r="C2175" s="209" t="e">
        <f t="shared" si="91"/>
        <v>#N/A</v>
      </c>
      <c r="D2175" t="s">
        <v>5915</v>
      </c>
      <c r="E2175" t="e">
        <v>#N/A</v>
      </c>
      <c r="F2175" t="e">
        <v>#N/A</v>
      </c>
      <c r="G2175" t="e">
        <v>#N/A</v>
      </c>
      <c r="H2175" s="214">
        <v>2425.92544</v>
      </c>
      <c r="I2175" s="425" t="e">
        <v>#N/A</v>
      </c>
      <c r="J2175" s="91">
        <v>438.16287999999997</v>
      </c>
      <c r="K2175" s="425">
        <v>35538.327550000002</v>
      </c>
      <c r="L2175" s="542" t="s">
        <v>622</v>
      </c>
    </row>
    <row r="2176" spans="1:12" ht="15">
      <c r="A2176">
        <v>460670</v>
      </c>
      <c r="B2176" t="str">
        <f t="shared" si="90"/>
        <v>SEVROLL Gemini horné vedenie 3m RAL7005 mat</v>
      </c>
      <c r="C2176" s="209" t="e">
        <f t="shared" si="91"/>
        <v>#N/A</v>
      </c>
      <c r="D2176" t="s">
        <v>5916</v>
      </c>
      <c r="E2176" t="s">
        <v>6810</v>
      </c>
      <c r="F2176" t="s">
        <v>7314</v>
      </c>
      <c r="G2176" t="s">
        <v>7930</v>
      </c>
      <c r="H2176" s="214">
        <v>1271.8433299999999</v>
      </c>
      <c r="I2176" s="425" t="e">
        <v>#N/A</v>
      </c>
      <c r="J2176" s="91">
        <v>161.4076</v>
      </c>
      <c r="K2176" s="425">
        <v>14410.34503</v>
      </c>
      <c r="L2176" s="542" t="s">
        <v>622</v>
      </c>
    </row>
    <row r="2177" spans="1:12" ht="15">
      <c r="A2177">
        <v>460671</v>
      </c>
      <c r="B2177" t="str">
        <f t="shared" ref="B2177:B2211" si="92">IF($A$2=1,D2177,IF($A$2=2,F2177,IF($A$2=3,G2177,IF($A$2=4,E2177,"zadat jazyk"))))</f>
        <v/>
      </c>
      <c r="C2177" s="209" t="e">
        <f t="shared" ref="C2177:C2211" si="93">IF($A$2=1,H2177,IF($A$2=2,I2177,IF($A$2=3,J2177,IF($A$2=4,K2177,"zadat jazyk"))))</f>
        <v>#N/A</v>
      </c>
      <c r="D2177" t="s">
        <v>5917</v>
      </c>
      <c r="E2177" t="s">
        <v>6811</v>
      </c>
      <c r="F2177" t="s">
        <v>84</v>
      </c>
      <c r="G2177" t="s">
        <v>7931</v>
      </c>
      <c r="H2177" s="214">
        <v>741.28588999999999</v>
      </c>
      <c r="I2177" s="425" t="e">
        <v>#N/A</v>
      </c>
      <c r="J2177" s="91">
        <v>94.075400000000002</v>
      </c>
      <c r="K2177" s="425">
        <v>8398.9789999999994</v>
      </c>
      <c r="L2177" s="542" t="s">
        <v>622</v>
      </c>
    </row>
    <row r="2178" spans="1:12" ht="15">
      <c r="A2178">
        <v>460672</v>
      </c>
      <c r="B2178" t="str">
        <f t="shared" si="92"/>
        <v/>
      </c>
      <c r="C2178" s="209" t="e">
        <f t="shared" si="93"/>
        <v>#N/A</v>
      </c>
      <c r="D2178" t="s">
        <v>5918</v>
      </c>
      <c r="E2178" t="s">
        <v>6812</v>
      </c>
      <c r="F2178" t="s">
        <v>84</v>
      </c>
      <c r="G2178" t="s">
        <v>84</v>
      </c>
      <c r="H2178" s="214">
        <v>431.91858999999999</v>
      </c>
      <c r="I2178" s="425" t="e">
        <v>#N/A</v>
      </c>
      <c r="J2178" s="91">
        <v>54.81409</v>
      </c>
      <c r="K2178" s="425">
        <v>4893.7599499999997</v>
      </c>
      <c r="L2178" s="542" t="s">
        <v>622</v>
      </c>
    </row>
    <row r="2179" spans="1:12" ht="15">
      <c r="A2179">
        <v>88052</v>
      </c>
      <c r="B2179" t="e">
        <f t="shared" si="92"/>
        <v>#N/A</v>
      </c>
      <c r="C2179" s="209" t="e">
        <f t="shared" si="93"/>
        <v>#N/A</v>
      </c>
      <c r="D2179" t="s">
        <v>5919</v>
      </c>
      <c r="E2179" t="e">
        <v>#N/A</v>
      </c>
      <c r="F2179" t="e">
        <v>#N/A</v>
      </c>
      <c r="G2179" t="e">
        <v>#N/A</v>
      </c>
      <c r="H2179" s="214">
        <v>8.2620000000000005</v>
      </c>
      <c r="I2179" s="425" t="e">
        <v>#N/A</v>
      </c>
      <c r="J2179" s="91">
        <v>1.3987000000000001</v>
      </c>
      <c r="K2179" s="425">
        <v>113.02641</v>
      </c>
      <c r="L2179" s="542" t="s">
        <v>622</v>
      </c>
    </row>
    <row r="2180" spans="1:12" ht="15">
      <c r="A2180">
        <v>86275</v>
      </c>
      <c r="B2180" t="e">
        <f t="shared" si="92"/>
        <v>#N/A</v>
      </c>
      <c r="C2180" s="209" t="e">
        <f t="shared" si="93"/>
        <v>#N/A</v>
      </c>
      <c r="D2180" t="s">
        <v>5920</v>
      </c>
      <c r="E2180" t="e">
        <v>#N/A</v>
      </c>
      <c r="F2180" t="e">
        <v>#N/A</v>
      </c>
      <c r="G2180" t="e">
        <v>#N/A</v>
      </c>
      <c r="H2180" s="214">
        <v>258.28816</v>
      </c>
      <c r="I2180" s="425" t="e">
        <v>#N/A</v>
      </c>
      <c r="J2180" s="91">
        <v>48.238230000000001</v>
      </c>
      <c r="K2180" s="425">
        <v>3889.8149199999998</v>
      </c>
      <c r="L2180" s="542" t="s">
        <v>622</v>
      </c>
    </row>
    <row r="2181" spans="1:12" ht="15">
      <c r="A2181">
        <v>86282</v>
      </c>
      <c r="B2181" t="e">
        <f t="shared" si="92"/>
        <v>#N/A</v>
      </c>
      <c r="C2181" s="209" t="e">
        <f t="shared" si="93"/>
        <v>#N/A</v>
      </c>
      <c r="D2181" t="s">
        <v>5921</v>
      </c>
      <c r="E2181" t="e">
        <v>#N/A</v>
      </c>
      <c r="F2181" t="e">
        <v>#N/A</v>
      </c>
      <c r="G2181" t="e">
        <v>#N/A</v>
      </c>
      <c r="H2181" s="214">
        <v>693.64890000000003</v>
      </c>
      <c r="I2181" s="425" t="e">
        <v>#N/A</v>
      </c>
      <c r="J2181" s="91">
        <v>129.54678000000001</v>
      </c>
      <c r="K2181" s="425">
        <v>10130.123219999999</v>
      </c>
      <c r="L2181" s="542" t="s">
        <v>620</v>
      </c>
    </row>
    <row r="2182" spans="1:12" ht="15">
      <c r="A2182">
        <v>86283</v>
      </c>
      <c r="B2182" t="e">
        <f t="shared" si="92"/>
        <v>#N/A</v>
      </c>
      <c r="C2182" s="209" t="e">
        <f t="shared" si="93"/>
        <v>#N/A</v>
      </c>
      <c r="D2182" t="s">
        <v>5922</v>
      </c>
      <c r="E2182" t="e">
        <v>#N/A</v>
      </c>
      <c r="F2182" t="e">
        <v>#N/A</v>
      </c>
      <c r="G2182" t="e">
        <v>#N/A</v>
      </c>
      <c r="H2182" s="214">
        <v>792.74159999999995</v>
      </c>
      <c r="I2182" s="425" t="e">
        <v>#N/A</v>
      </c>
      <c r="J2182" s="91">
        <v>148.05347</v>
      </c>
      <c r="K2182" s="425">
        <v>11577.28368</v>
      </c>
      <c r="L2182" s="542" t="s">
        <v>620</v>
      </c>
    </row>
    <row r="2183" spans="1:12" ht="15">
      <c r="A2183">
        <v>86286</v>
      </c>
      <c r="B2183" t="e">
        <f t="shared" si="92"/>
        <v>#N/A</v>
      </c>
      <c r="C2183" s="209" t="e">
        <f t="shared" si="93"/>
        <v>#N/A</v>
      </c>
      <c r="D2183" t="s">
        <v>5923</v>
      </c>
      <c r="E2183" t="e">
        <v>#N/A</v>
      </c>
      <c r="F2183" t="e">
        <v>#N/A</v>
      </c>
      <c r="G2183" t="e">
        <v>#N/A</v>
      </c>
      <c r="H2183" s="214">
        <v>416.59379999999999</v>
      </c>
      <c r="I2183" s="425" t="e">
        <v>#N/A</v>
      </c>
      <c r="J2183" s="91">
        <v>77.803610000000006</v>
      </c>
      <c r="K2183" s="425">
        <v>6083.9807099999998</v>
      </c>
      <c r="L2183" s="542" t="s">
        <v>620</v>
      </c>
    </row>
    <row r="2184" spans="1:12" ht="15">
      <c r="A2184">
        <v>87350</v>
      </c>
      <c r="B2184" t="e">
        <f t="shared" si="92"/>
        <v>#N/A</v>
      </c>
      <c r="C2184" s="209" t="e">
        <f t="shared" si="93"/>
        <v>#N/A</v>
      </c>
      <c r="D2184" t="s">
        <v>5924</v>
      </c>
      <c r="E2184" t="e">
        <v>#N/A</v>
      </c>
      <c r="F2184" t="e">
        <v>#N/A</v>
      </c>
      <c r="G2184" t="e">
        <v>#N/A</v>
      </c>
      <c r="H2184" s="214">
        <v>479.58586000000003</v>
      </c>
      <c r="I2184" s="425" t="e">
        <v>#N/A</v>
      </c>
      <c r="J2184" s="91">
        <v>86.621260000000007</v>
      </c>
      <c r="K2184" s="425">
        <v>7025.6402200000002</v>
      </c>
      <c r="L2184" s="542" t="s">
        <v>621</v>
      </c>
    </row>
    <row r="2185" spans="1:12" ht="15">
      <c r="A2185">
        <v>87351</v>
      </c>
      <c r="B2185" t="e">
        <f t="shared" si="92"/>
        <v>#N/A</v>
      </c>
      <c r="C2185" s="209" t="e">
        <f t="shared" si="93"/>
        <v>#N/A</v>
      </c>
      <c r="D2185" t="s">
        <v>5925</v>
      </c>
      <c r="E2185" t="e">
        <v>#N/A</v>
      </c>
      <c r="F2185" t="e">
        <v>#N/A</v>
      </c>
      <c r="G2185" t="e">
        <v>#N/A</v>
      </c>
      <c r="H2185" s="214">
        <v>689.67854999999997</v>
      </c>
      <c r="I2185" s="425" t="e">
        <v>#N/A</v>
      </c>
      <c r="J2185" s="91">
        <v>124.56753</v>
      </c>
      <c r="K2185" s="425">
        <v>10103.37004</v>
      </c>
      <c r="L2185" s="542" t="s">
        <v>622</v>
      </c>
    </row>
    <row r="2186" spans="1:12" ht="15">
      <c r="A2186">
        <v>87352</v>
      </c>
      <c r="B2186" t="e">
        <f t="shared" si="92"/>
        <v>#N/A</v>
      </c>
      <c r="C2186" s="209" t="e">
        <f t="shared" si="93"/>
        <v>#N/A</v>
      </c>
      <c r="D2186" t="s">
        <v>5926</v>
      </c>
      <c r="E2186" t="e">
        <v>#N/A</v>
      </c>
      <c r="F2186" t="e">
        <v>#N/A</v>
      </c>
      <c r="G2186" t="e">
        <v>#N/A</v>
      </c>
      <c r="H2186" s="214">
        <v>766.36360000000002</v>
      </c>
      <c r="I2186" s="425" t="e">
        <v>#N/A</v>
      </c>
      <c r="J2186" s="91">
        <v>138.41815</v>
      </c>
      <c r="K2186" s="425">
        <v>11226.759239999999</v>
      </c>
      <c r="L2186" s="542" t="s">
        <v>1025</v>
      </c>
    </row>
    <row r="2187" spans="1:12" ht="15">
      <c r="A2187">
        <v>87353</v>
      </c>
      <c r="B2187" t="e">
        <f t="shared" si="92"/>
        <v>#N/A</v>
      </c>
      <c r="C2187" s="209" t="e">
        <f t="shared" si="93"/>
        <v>#N/A</v>
      </c>
      <c r="D2187" t="s">
        <v>5927</v>
      </c>
      <c r="E2187" t="e">
        <v>#N/A</v>
      </c>
      <c r="F2187" t="e">
        <v>#N/A</v>
      </c>
      <c r="G2187" t="e">
        <v>#N/A</v>
      </c>
      <c r="H2187" s="214">
        <v>840.12730999999997</v>
      </c>
      <c r="I2187" s="425" t="e">
        <v>#N/A</v>
      </c>
      <c r="J2187" s="91">
        <v>151.74110999999999</v>
      </c>
      <c r="K2187" s="425">
        <v>12307.35253</v>
      </c>
      <c r="L2187" s="542" t="s">
        <v>1025</v>
      </c>
    </row>
    <row r="2188" spans="1:12" ht="15">
      <c r="A2188">
        <v>87354</v>
      </c>
      <c r="B2188" t="e">
        <f t="shared" si="92"/>
        <v>#N/A</v>
      </c>
      <c r="C2188" s="209" t="e">
        <f t="shared" si="93"/>
        <v>#N/A</v>
      </c>
      <c r="D2188" t="s">
        <v>5928</v>
      </c>
      <c r="E2188" t="e">
        <v>#N/A</v>
      </c>
      <c r="F2188" t="e">
        <v>#N/A</v>
      </c>
      <c r="G2188" t="e">
        <v>#N/A</v>
      </c>
      <c r="H2188" s="214">
        <v>909.20471999999995</v>
      </c>
      <c r="I2188" s="425" t="e">
        <v>#N/A</v>
      </c>
      <c r="J2188" s="91">
        <v>164.21763999999999</v>
      </c>
      <c r="K2188" s="425">
        <v>13319.29437</v>
      </c>
      <c r="L2188" s="542" t="s">
        <v>1025</v>
      </c>
    </row>
    <row r="2189" spans="1:12" ht="15">
      <c r="A2189">
        <v>87355</v>
      </c>
      <c r="B2189" t="e">
        <f t="shared" si="92"/>
        <v>#N/A</v>
      </c>
      <c r="C2189" s="209" t="e">
        <f t="shared" si="93"/>
        <v>#N/A</v>
      </c>
      <c r="D2189" t="s">
        <v>5929</v>
      </c>
      <c r="E2189" t="e">
        <v>#N/A</v>
      </c>
      <c r="F2189" t="e">
        <v>#N/A</v>
      </c>
      <c r="G2189" t="e">
        <v>#N/A</v>
      </c>
      <c r="H2189" s="214">
        <v>995.20151999999996</v>
      </c>
      <c r="I2189" s="425" t="e">
        <v>#N/A</v>
      </c>
      <c r="J2189" s="91">
        <v>179.7501</v>
      </c>
      <c r="K2189" s="425">
        <v>14579.0951</v>
      </c>
      <c r="L2189" s="542" t="s">
        <v>621</v>
      </c>
    </row>
    <row r="2190" spans="1:12" ht="15">
      <c r="A2190">
        <v>87356</v>
      </c>
      <c r="B2190" t="e">
        <f t="shared" si="92"/>
        <v>#N/A</v>
      </c>
      <c r="C2190" s="209" t="e">
        <f t="shared" si="93"/>
        <v>#N/A</v>
      </c>
      <c r="D2190" t="s">
        <v>5930</v>
      </c>
      <c r="E2190" t="e">
        <v>#N/A</v>
      </c>
      <c r="F2190" t="e">
        <v>#N/A</v>
      </c>
      <c r="G2190" t="e">
        <v>#N/A</v>
      </c>
      <c r="H2190" s="214">
        <v>1086.7517700000001</v>
      </c>
      <c r="I2190" s="425" t="e">
        <v>#N/A</v>
      </c>
      <c r="J2190" s="91">
        <v>196.28563</v>
      </c>
      <c r="K2190" s="425">
        <v>15920.250260000001</v>
      </c>
      <c r="L2190" s="542" t="s">
        <v>622</v>
      </c>
    </row>
    <row r="2191" spans="1:12" ht="15">
      <c r="A2191">
        <v>220613</v>
      </c>
      <c r="B2191" t="str">
        <f t="shared" si="92"/>
        <v>SEVROLL U profil oceľový 2m strieborný</v>
      </c>
      <c r="C2191" s="209">
        <f t="shared" si="93"/>
        <v>15.6676</v>
      </c>
      <c r="D2191" t="s">
        <v>5931</v>
      </c>
      <c r="E2191" t="s">
        <v>6813</v>
      </c>
      <c r="F2191" t="s">
        <v>7315</v>
      </c>
      <c r="G2191" t="s">
        <v>7932</v>
      </c>
      <c r="H2191" s="214">
        <v>388.505</v>
      </c>
      <c r="I2191" s="425">
        <v>15.6676</v>
      </c>
      <c r="J2191" s="91">
        <v>56.83</v>
      </c>
      <c r="K2191" s="425">
        <v>5420.7604499999998</v>
      </c>
      <c r="L2191" s="542" t="s">
        <v>622</v>
      </c>
    </row>
    <row r="2192" spans="1:12" ht="15">
      <c r="A2192">
        <v>220614</v>
      </c>
      <c r="B2192" t="str">
        <f t="shared" si="92"/>
        <v>SEVROLL sada Herkules plus 40kg pre 2 krídla</v>
      </c>
      <c r="C2192" s="209">
        <f t="shared" si="93"/>
        <v>41.410670000000003</v>
      </c>
      <c r="D2192" t="s">
        <v>5932</v>
      </c>
      <c r="E2192" t="s">
        <v>6814</v>
      </c>
      <c r="F2192" t="s">
        <v>7316</v>
      </c>
      <c r="G2192" t="s">
        <v>7933</v>
      </c>
      <c r="H2192" s="214">
        <v>901.33159999999998</v>
      </c>
      <c r="I2192" s="425">
        <v>41.410670000000003</v>
      </c>
      <c r="J2192" s="91">
        <v>131.84</v>
      </c>
      <c r="K2192" s="425">
        <v>12576.164140000001</v>
      </c>
      <c r="L2192" s="542" t="s">
        <v>622</v>
      </c>
    </row>
    <row r="2193" spans="1:12" ht="15">
      <c r="A2193">
        <v>220615</v>
      </c>
      <c r="B2193" t="str">
        <f t="shared" si="92"/>
        <v>SEVROLL vodítko pre skládacie dvere Herkules</v>
      </c>
      <c r="C2193" s="209">
        <f t="shared" si="93"/>
        <v>6.2670399999999997</v>
      </c>
      <c r="D2193" t="s">
        <v>5933</v>
      </c>
      <c r="E2193" t="s">
        <v>6815</v>
      </c>
      <c r="F2193" t="s">
        <v>7317</v>
      </c>
      <c r="G2193" t="s">
        <v>7934</v>
      </c>
      <c r="H2193" s="214">
        <v>129.10319999999999</v>
      </c>
      <c r="I2193" s="425">
        <v>6.2670399999999997</v>
      </c>
      <c r="J2193" s="91">
        <v>18.88</v>
      </c>
      <c r="K2193" s="425">
        <v>1801.3602800000001</v>
      </c>
      <c r="L2193" s="542" t="s">
        <v>622</v>
      </c>
    </row>
    <row r="2194" spans="1:12" ht="15">
      <c r="A2194">
        <v>220616</v>
      </c>
      <c r="B2194" t="str">
        <f t="shared" si="92"/>
        <v>SEVROLL stredový záves pružinový strieborný</v>
      </c>
      <c r="C2194" s="209">
        <f t="shared" si="93"/>
        <v>3.2781400000000001</v>
      </c>
      <c r="D2194" t="s">
        <v>5934</v>
      </c>
      <c r="E2194" t="s">
        <v>6816</v>
      </c>
      <c r="F2194" t="s">
        <v>7318</v>
      </c>
      <c r="G2194" t="s">
        <v>7935</v>
      </c>
      <c r="H2194" s="214">
        <v>84.873400000000004</v>
      </c>
      <c r="I2194" s="425">
        <v>3.2781400000000001</v>
      </c>
      <c r="J2194" s="91">
        <v>12.41</v>
      </c>
      <c r="K2194" s="425">
        <v>1184.2277200000001</v>
      </c>
      <c r="L2194" s="542" t="s">
        <v>622</v>
      </c>
    </row>
    <row r="2195" spans="1:12" ht="15">
      <c r="A2195">
        <v>220617</v>
      </c>
      <c r="B2195" t="str">
        <f t="shared" si="92"/>
        <v>SEVROLL Herkules plus horné vedenie 1,5m</v>
      </c>
      <c r="C2195" s="209">
        <f t="shared" si="93"/>
        <v>21.6936</v>
      </c>
      <c r="D2195" t="s">
        <v>5935</v>
      </c>
      <c r="E2195" t="s">
        <v>6817</v>
      </c>
      <c r="F2195" t="s">
        <v>7319</v>
      </c>
      <c r="G2195" t="s">
        <v>7936</v>
      </c>
      <c r="H2195" s="214">
        <v>440.50490000000002</v>
      </c>
      <c r="I2195" s="425">
        <v>21.6936</v>
      </c>
      <c r="J2195" s="91">
        <v>64.430000000000007</v>
      </c>
      <c r="K2195" s="425">
        <v>6146.30843</v>
      </c>
      <c r="L2195" s="542" t="s">
        <v>622</v>
      </c>
    </row>
    <row r="2196" spans="1:12" ht="15">
      <c r="A2196">
        <v>221955</v>
      </c>
      <c r="B2196" t="e">
        <f t="shared" si="92"/>
        <v>#N/A</v>
      </c>
      <c r="C2196" s="209" t="e">
        <f t="shared" si="93"/>
        <v>#N/A</v>
      </c>
      <c r="D2196" t="s">
        <v>5936</v>
      </c>
      <c r="E2196" t="e">
        <v>#N/A</v>
      </c>
      <c r="F2196" t="e">
        <v>#N/A</v>
      </c>
      <c r="G2196" t="e">
        <v>#N/A</v>
      </c>
      <c r="H2196" s="214">
        <v>19.260999999999999</v>
      </c>
      <c r="I2196" s="425" t="e">
        <v>#N/A</v>
      </c>
      <c r="J2196" s="91">
        <v>3.5970200000000001</v>
      </c>
      <c r="K2196" s="425">
        <v>281.27510999999998</v>
      </c>
      <c r="L2196" s="542" t="s">
        <v>622</v>
      </c>
    </row>
    <row r="2197" spans="1:12" ht="15">
      <c r="A2197">
        <v>251160</v>
      </c>
      <c r="B2197" t="str">
        <f t="shared" si="92"/>
        <v>SEVROLL Alfa II lišta 18mm 2,70m RAL9003 mat</v>
      </c>
      <c r="C2197" s="209" t="e">
        <f t="shared" si="93"/>
        <v>#N/A</v>
      </c>
      <c r="D2197" t="s">
        <v>5937</v>
      </c>
      <c r="E2197" t="s">
        <v>6818</v>
      </c>
      <c r="F2197" t="s">
        <v>5937</v>
      </c>
      <c r="G2197" t="s">
        <v>7937</v>
      </c>
      <c r="H2197" s="214">
        <v>0</v>
      </c>
      <c r="I2197" s="425" t="e">
        <v>#N/A</v>
      </c>
      <c r="J2197" s="91">
        <v>0</v>
      </c>
      <c r="K2197" s="425">
        <v>0</v>
      </c>
      <c r="L2197" s="542" t="s">
        <v>622</v>
      </c>
    </row>
    <row r="2198" spans="1:12" ht="15">
      <c r="A2198">
        <v>251161</v>
      </c>
      <c r="B2198" t="str">
        <f t="shared" si="92"/>
        <v>SEVROLL Gemini horné vedenie 1,7m RAL9003 ma</v>
      </c>
      <c r="C2198" s="209" t="e">
        <f t="shared" si="93"/>
        <v>#N/A</v>
      </c>
      <c r="D2198" t="s">
        <v>5938</v>
      </c>
      <c r="E2198" t="s">
        <v>6819</v>
      </c>
      <c r="F2198" t="s">
        <v>6957</v>
      </c>
      <c r="G2198" t="s">
        <v>7499</v>
      </c>
      <c r="H2198" s="214">
        <v>0</v>
      </c>
      <c r="I2198" s="425" t="e">
        <v>#N/A</v>
      </c>
      <c r="J2198" s="91">
        <v>0</v>
      </c>
      <c r="K2198" s="425">
        <v>0</v>
      </c>
      <c r="L2198" s="542" t="s">
        <v>622</v>
      </c>
    </row>
    <row r="2199" spans="1:12" ht="15">
      <c r="A2199">
        <v>251163</v>
      </c>
      <c r="B2199" t="str">
        <f t="shared" si="92"/>
        <v>SEVROLL uholník K2 Decor 3m RAL9003 mat</v>
      </c>
      <c r="C2199" s="209" t="e">
        <f t="shared" si="93"/>
        <v>#N/A</v>
      </c>
      <c r="D2199" t="s">
        <v>5939</v>
      </c>
      <c r="E2199" t="s">
        <v>6820</v>
      </c>
      <c r="F2199" t="s">
        <v>7320</v>
      </c>
      <c r="G2199" t="s">
        <v>7938</v>
      </c>
      <c r="H2199" s="214">
        <v>0</v>
      </c>
      <c r="I2199" s="425" t="e">
        <v>#N/A</v>
      </c>
      <c r="J2199" s="91">
        <v>0</v>
      </c>
      <c r="K2199" s="425">
        <v>0</v>
      </c>
      <c r="L2199" s="542" t="s">
        <v>622</v>
      </c>
    </row>
    <row r="2200" spans="1:12" ht="15">
      <c r="A2200">
        <v>251164</v>
      </c>
      <c r="B2200" t="str">
        <f t="shared" si="92"/>
        <v>SEVROLL spojovacia lišta H18 3m RAL9003 mat</v>
      </c>
      <c r="C2200" s="209" t="e">
        <f t="shared" si="93"/>
        <v>#N/A</v>
      </c>
      <c r="D2200" t="s">
        <v>5940</v>
      </c>
      <c r="E2200" t="s">
        <v>6821</v>
      </c>
      <c r="F2200" t="s">
        <v>7321</v>
      </c>
      <c r="G2200" t="s">
        <v>7939</v>
      </c>
      <c r="H2200" s="214">
        <v>0</v>
      </c>
      <c r="I2200" s="425" t="e">
        <v>#N/A</v>
      </c>
      <c r="J2200" s="91">
        <v>0</v>
      </c>
      <c r="K2200" s="425">
        <v>0</v>
      </c>
      <c r="L2200" s="542" t="s">
        <v>622</v>
      </c>
    </row>
    <row r="2201" spans="1:12" ht="15">
      <c r="A2201">
        <v>251671</v>
      </c>
      <c r="B2201" t="e">
        <f t="shared" si="92"/>
        <v>#N/A</v>
      </c>
      <c r="C2201" s="209" t="e">
        <f t="shared" si="93"/>
        <v>#N/A</v>
      </c>
      <c r="D2201" t="s">
        <v>5941</v>
      </c>
      <c r="E2201" t="e">
        <v>#N/A</v>
      </c>
      <c r="F2201" t="e">
        <v>#N/A</v>
      </c>
      <c r="G2201" t="e">
        <v>#N/A</v>
      </c>
      <c r="H2201" s="214">
        <v>1891.4</v>
      </c>
      <c r="I2201" s="425" t="e">
        <v>#N/A</v>
      </c>
      <c r="J2201" s="91">
        <v>260.64208000000002</v>
      </c>
      <c r="K2201" s="425">
        <v>27564.961159999999</v>
      </c>
      <c r="L2201" s="542" t="s">
        <v>622</v>
      </c>
    </row>
    <row r="2202" spans="1:12" ht="15">
      <c r="A2202">
        <v>251773</v>
      </c>
      <c r="B2202" t="str">
        <f t="shared" si="92"/>
        <v>SEVROLL Fox úchytová lišta 2,7m RAL9010 mat</v>
      </c>
      <c r="C2202" s="209" t="e">
        <f t="shared" si="93"/>
        <v>#N/A</v>
      </c>
      <c r="D2202" t="s">
        <v>5942</v>
      </c>
      <c r="E2202" t="s">
        <v>6822</v>
      </c>
      <c r="F2202" t="s">
        <v>7322</v>
      </c>
      <c r="G2202" t="s">
        <v>7940</v>
      </c>
      <c r="H2202" s="214">
        <v>0</v>
      </c>
      <c r="I2202" s="425" t="e">
        <v>#N/A</v>
      </c>
      <c r="J2202" s="91">
        <v>0</v>
      </c>
      <c r="K2202" s="425">
        <v>0</v>
      </c>
      <c r="L2202" s="542" t="s">
        <v>622</v>
      </c>
    </row>
    <row r="2203" spans="1:12" ht="15">
      <c r="A2203">
        <v>251793</v>
      </c>
      <c r="B2203" t="str">
        <f t="shared" si="92"/>
        <v>SEVROLL Gemini horné vedenie 3m RAL9010 mat</v>
      </c>
      <c r="C2203" s="209" t="e">
        <f t="shared" si="93"/>
        <v>#N/A</v>
      </c>
      <c r="D2203" t="s">
        <v>5943</v>
      </c>
      <c r="E2203" t="s">
        <v>6823</v>
      </c>
      <c r="F2203" t="s">
        <v>7323</v>
      </c>
      <c r="G2203" t="s">
        <v>7941</v>
      </c>
      <c r="H2203" s="214">
        <v>0</v>
      </c>
      <c r="I2203" s="425" t="e">
        <v>#N/A</v>
      </c>
      <c r="J2203" s="91">
        <v>0</v>
      </c>
      <c r="K2203" s="425">
        <v>0</v>
      </c>
      <c r="L2203" s="542" t="s">
        <v>622</v>
      </c>
    </row>
    <row r="2204" spans="1:12" ht="15">
      <c r="A2204">
        <v>251796</v>
      </c>
      <c r="B2204" t="str">
        <f t="shared" si="92"/>
        <v>SEVROLL horná vod.lišta 3m RAL9010 mat</v>
      </c>
      <c r="C2204" s="209" t="e">
        <f t="shared" si="93"/>
        <v>#N/A</v>
      </c>
      <c r="D2204" t="s">
        <v>5944</v>
      </c>
      <c r="E2204" t="s">
        <v>6824</v>
      </c>
      <c r="F2204" t="s">
        <v>7324</v>
      </c>
      <c r="G2204" t="s">
        <v>7942</v>
      </c>
      <c r="H2204" s="214">
        <v>0</v>
      </c>
      <c r="I2204" s="425" t="e">
        <v>#N/A</v>
      </c>
      <c r="J2204" s="91">
        <v>0</v>
      </c>
      <c r="K2204" s="425">
        <v>0</v>
      </c>
      <c r="L2204" s="542" t="s">
        <v>622</v>
      </c>
    </row>
    <row r="2205" spans="1:12" ht="15">
      <c r="A2205">
        <v>251797</v>
      </c>
      <c r="B2205" t="str">
        <f t="shared" si="92"/>
        <v>SEVROLL spodná krycia lišta 3m RAL9010 mat</v>
      </c>
      <c r="C2205" s="209" t="e">
        <f t="shared" si="93"/>
        <v>#N/A</v>
      </c>
      <c r="D2205" t="s">
        <v>5945</v>
      </c>
      <c r="E2205" t="s">
        <v>6825</v>
      </c>
      <c r="F2205" t="s">
        <v>7325</v>
      </c>
      <c r="G2205" t="s">
        <v>7943</v>
      </c>
      <c r="H2205" s="214">
        <v>0</v>
      </c>
      <c r="I2205" s="425" t="e">
        <v>#N/A</v>
      </c>
      <c r="J2205" s="91">
        <v>0</v>
      </c>
      <c r="K2205" s="425">
        <v>0</v>
      </c>
      <c r="L2205" s="542" t="s">
        <v>622</v>
      </c>
    </row>
    <row r="2206" spans="1:12" ht="15">
      <c r="A2206">
        <v>251802</v>
      </c>
      <c r="B2206" t="e">
        <f t="shared" si="92"/>
        <v>#N/A</v>
      </c>
      <c r="C2206" s="209" t="e">
        <f t="shared" si="93"/>
        <v>#N/A</v>
      </c>
      <c r="D2206" t="s">
        <v>5946</v>
      </c>
      <c r="E2206" t="e">
        <v>#N/A</v>
      </c>
      <c r="F2206" t="e">
        <v>#N/A</v>
      </c>
      <c r="G2206" t="e">
        <v>#N/A</v>
      </c>
      <c r="H2206" s="214">
        <v>2754.1</v>
      </c>
      <c r="I2206" s="425" t="e">
        <v>#N/A</v>
      </c>
      <c r="J2206" s="91">
        <v>311.52688000000001</v>
      </c>
      <c r="K2206" s="425">
        <v>28801.10497</v>
      </c>
      <c r="L2206" s="542" t="s">
        <v>622</v>
      </c>
    </row>
    <row r="2207" spans="1:12" ht="15">
      <c r="A2207">
        <v>252424</v>
      </c>
      <c r="B2207" t="str">
        <f t="shared" si="92"/>
        <v>SEV-bočná krytka profilu Single+pozic.</v>
      </c>
      <c r="C2207" s="209">
        <f t="shared" si="93"/>
        <v>26.731339999999999</v>
      </c>
      <c r="D2207" t="s">
        <v>5947</v>
      </c>
      <c r="E2207" t="s">
        <v>6826</v>
      </c>
      <c r="F2207" t="s">
        <v>7326</v>
      </c>
      <c r="G2207" t="s">
        <v>7944</v>
      </c>
      <c r="H2207" s="214">
        <v>776.05367999999999</v>
      </c>
      <c r="I2207" s="425">
        <v>26.731339999999999</v>
      </c>
      <c r="J2207" s="91">
        <v>91.82</v>
      </c>
      <c r="K2207" s="425">
        <v>8724.7458499999993</v>
      </c>
      <c r="L2207" s="542" t="s">
        <v>622</v>
      </c>
    </row>
    <row r="2208" spans="1:12" ht="15">
      <c r="A2208">
        <v>86201</v>
      </c>
      <c r="B2208" t="e">
        <f t="shared" si="92"/>
        <v>#N/A</v>
      </c>
      <c r="C2208" s="209" t="e">
        <f t="shared" si="93"/>
        <v>#N/A</v>
      </c>
      <c r="D2208" t="s">
        <v>5948</v>
      </c>
      <c r="E2208" t="e">
        <v>#N/A</v>
      </c>
      <c r="F2208" t="e">
        <v>#N/A</v>
      </c>
      <c r="G2208" t="e">
        <v>#N/A</v>
      </c>
      <c r="H2208" s="214">
        <v>616.20829000000003</v>
      </c>
      <c r="I2208" s="425" t="e">
        <v>#N/A</v>
      </c>
      <c r="J2208" s="91">
        <v>115.08387</v>
      </c>
      <c r="K2208" s="425">
        <v>9280.0856399999993</v>
      </c>
      <c r="L2208" s="542" t="s">
        <v>622</v>
      </c>
    </row>
    <row r="2209" spans="1:12" ht="15">
      <c r="A2209">
        <v>15708</v>
      </c>
      <c r="B2209" t="e">
        <f t="shared" si="92"/>
        <v>#N/A</v>
      </c>
      <c r="C2209" s="209" t="e">
        <f t="shared" si="93"/>
        <v>#N/A</v>
      </c>
      <c r="D2209" t="s">
        <v>5949</v>
      </c>
      <c r="E2209" t="e">
        <v>#N/A</v>
      </c>
      <c r="F2209" t="e">
        <v>#N/A</v>
      </c>
      <c r="G2209" t="e">
        <v>#N/A</v>
      </c>
      <c r="H2209" s="214">
        <v>947.24135999999999</v>
      </c>
      <c r="I2209" s="425" t="e">
        <v>#N/A</v>
      </c>
      <c r="J2209" s="91">
        <v>198.41504</v>
      </c>
      <c r="K2209" s="425">
        <v>16786.720689999998</v>
      </c>
      <c r="L2209" s="542" t="s">
        <v>622</v>
      </c>
    </row>
    <row r="2210" spans="1:12" ht="15">
      <c r="A2210">
        <v>15713</v>
      </c>
      <c r="B2210" t="e">
        <f t="shared" si="92"/>
        <v>#N/A</v>
      </c>
      <c r="C2210" s="209" t="e">
        <f t="shared" si="93"/>
        <v>#N/A</v>
      </c>
      <c r="D2210" t="s">
        <v>5950</v>
      </c>
      <c r="E2210" t="e">
        <v>#N/A</v>
      </c>
      <c r="F2210" t="e">
        <v>#N/A</v>
      </c>
      <c r="G2210" t="e">
        <v>#N/A</v>
      </c>
      <c r="H2210" s="214">
        <v>704.48</v>
      </c>
      <c r="I2210" s="425" t="e">
        <v>#N/A</v>
      </c>
      <c r="J2210" s="91">
        <v>147.56475</v>
      </c>
      <c r="K2210" s="425">
        <v>12484.578310000001</v>
      </c>
      <c r="L2210" s="542" t="s">
        <v>622</v>
      </c>
    </row>
    <row r="2211" spans="1:12" ht="15">
      <c r="A2211">
        <v>15714</v>
      </c>
      <c r="B2211" t="e">
        <f t="shared" si="92"/>
        <v>#N/A</v>
      </c>
      <c r="C2211" s="209" t="e">
        <f t="shared" si="93"/>
        <v>#N/A</v>
      </c>
      <c r="D2211" t="s">
        <v>5951</v>
      </c>
      <c r="E2211" t="e">
        <v>#N/A</v>
      </c>
      <c r="F2211" t="e">
        <v>#N/A</v>
      </c>
      <c r="G2211" t="e">
        <v>#N/A</v>
      </c>
      <c r="H2211" s="214">
        <v>795.6</v>
      </c>
      <c r="I2211" s="425" t="e">
        <v>#N/A</v>
      </c>
      <c r="J2211" s="91">
        <v>166.65129999999999</v>
      </c>
      <c r="K2211" s="425">
        <v>14099.379129999999</v>
      </c>
      <c r="L2211" s="542" t="s">
        <v>622</v>
      </c>
    </row>
    <row r="2212" spans="1:12" ht="15">
      <c r="A2212">
        <v>248238</v>
      </c>
      <c r="B2212" t="e">
        <f t="shared" ref="B2212:B2238" si="94">IF($A$2=1,D2212,IF($A$2=2,F2212,IF($A$2=3,G2212,IF($A$2=4,E2212,"zadat jazyk"))))</f>
        <v>#N/A</v>
      </c>
      <c r="C2212" s="209" t="e">
        <f t="shared" ref="C2212:C2238" si="95">IF($A$2=1,H2212,IF($A$2=2,I2212,IF($A$2=3,J2212,IF($A$2=4,K2212,"zadat jazyk"))))</f>
        <v>#N/A</v>
      </c>
      <c r="D2212" t="s">
        <v>5952</v>
      </c>
      <c r="E2212" t="e">
        <v>#N/A</v>
      </c>
      <c r="F2212" t="e">
        <v>#N/A</v>
      </c>
      <c r="G2212" t="e">
        <v>#N/A</v>
      </c>
      <c r="H2212" s="214">
        <v>780.62400000000002</v>
      </c>
      <c r="I2212" s="425" t="e">
        <v>#N/A</v>
      </c>
      <c r="J2212" s="91">
        <v>133.67225999999999</v>
      </c>
      <c r="K2212" s="425">
        <v>10757.11087</v>
      </c>
      <c r="L2212" s="542" t="s">
        <v>621</v>
      </c>
    </row>
    <row r="2213" spans="1:12" ht="15">
      <c r="A2213">
        <v>248239</v>
      </c>
      <c r="B2213" t="e">
        <f t="shared" si="94"/>
        <v>#N/A</v>
      </c>
      <c r="C2213" s="209" t="e">
        <f t="shared" si="95"/>
        <v>#N/A</v>
      </c>
      <c r="D2213" t="s">
        <v>5953</v>
      </c>
      <c r="E2213" t="e">
        <v>#N/A</v>
      </c>
      <c r="F2213" t="e">
        <v>#N/A</v>
      </c>
      <c r="G2213" t="e">
        <v>#N/A</v>
      </c>
      <c r="H2213" s="214">
        <v>914.06399999999996</v>
      </c>
      <c r="I2213" s="425" t="e">
        <v>#N/A</v>
      </c>
      <c r="J2213" s="91">
        <v>156.52223000000001</v>
      </c>
      <c r="K2213" s="425">
        <v>12595.93319</v>
      </c>
      <c r="L2213" s="542" t="s">
        <v>621</v>
      </c>
    </row>
    <row r="2214" spans="1:12" ht="15">
      <c r="A2214">
        <v>248241</v>
      </c>
      <c r="B2214" t="e">
        <f t="shared" si="94"/>
        <v>#N/A</v>
      </c>
      <c r="C2214" s="209" t="e">
        <f t="shared" si="95"/>
        <v>#N/A</v>
      </c>
      <c r="D2214" t="s">
        <v>5954</v>
      </c>
      <c r="E2214" t="e">
        <v>#N/A</v>
      </c>
      <c r="F2214" t="e">
        <v>#N/A</v>
      </c>
      <c r="G2214" t="e">
        <v>#N/A</v>
      </c>
      <c r="H2214" s="214">
        <v>970.2</v>
      </c>
      <c r="I2214" s="425" t="e">
        <v>#N/A</v>
      </c>
      <c r="J2214" s="91">
        <v>166.13481999999999</v>
      </c>
      <c r="K2214" s="425">
        <v>12154.0867</v>
      </c>
      <c r="L2214" s="542" t="s">
        <v>622</v>
      </c>
    </row>
    <row r="2215" spans="1:12" ht="15">
      <c r="A2215">
        <v>248243</v>
      </c>
      <c r="B2215" t="e">
        <f t="shared" si="94"/>
        <v>#N/A</v>
      </c>
      <c r="C2215" s="209" t="e">
        <f t="shared" si="95"/>
        <v>#N/A</v>
      </c>
      <c r="D2215" t="s">
        <v>5955</v>
      </c>
      <c r="E2215" t="e">
        <v>#N/A</v>
      </c>
      <c r="F2215" t="e">
        <v>#N/A</v>
      </c>
      <c r="G2215" t="e">
        <v>#N/A</v>
      </c>
      <c r="H2215" s="214">
        <v>151.19999999999999</v>
      </c>
      <c r="I2215" s="425" t="e">
        <v>#N/A</v>
      </c>
      <c r="J2215" s="91">
        <v>21.22054</v>
      </c>
      <c r="K2215" s="425">
        <v>1886.3271099999999</v>
      </c>
      <c r="L2215" s="542" t="s">
        <v>621</v>
      </c>
    </row>
    <row r="2216" spans="1:12" ht="15">
      <c r="A2216">
        <v>248242</v>
      </c>
      <c r="B2216" t="e">
        <f t="shared" si="94"/>
        <v>#N/A</v>
      </c>
      <c r="C2216" s="209" t="e">
        <f t="shared" si="95"/>
        <v>#N/A</v>
      </c>
      <c r="D2216" t="s">
        <v>5956</v>
      </c>
      <c r="E2216" t="e">
        <v>#N/A</v>
      </c>
      <c r="F2216" t="e">
        <v>#N/A</v>
      </c>
      <c r="G2216" t="e">
        <v>#N/A</v>
      </c>
      <c r="H2216" s="214">
        <v>517.57773999999995</v>
      </c>
      <c r="I2216" s="425" t="e">
        <v>#N/A</v>
      </c>
      <c r="J2216" s="91">
        <v>88.628829999999994</v>
      </c>
      <c r="K2216" s="425">
        <v>7132.2988100000002</v>
      </c>
      <c r="L2216" s="542" t="s">
        <v>621</v>
      </c>
    </row>
    <row r="2217" spans="1:12" ht="15">
      <c r="A2217">
        <v>248244</v>
      </c>
      <c r="B2217" t="e">
        <f t="shared" si="94"/>
        <v>#N/A</v>
      </c>
      <c r="C2217" s="209" t="e">
        <f t="shared" si="95"/>
        <v>#N/A</v>
      </c>
      <c r="D2217" t="s">
        <v>5957</v>
      </c>
      <c r="E2217" t="e">
        <v>#N/A</v>
      </c>
      <c r="F2217" t="e">
        <v>#N/A</v>
      </c>
      <c r="G2217" t="e">
        <v>#N/A</v>
      </c>
      <c r="H2217" s="214">
        <v>62.736820000000002</v>
      </c>
      <c r="I2217" s="425" t="e">
        <v>#N/A</v>
      </c>
      <c r="J2217" s="91">
        <v>10.74291</v>
      </c>
      <c r="K2217" s="425">
        <v>864.52209000000005</v>
      </c>
      <c r="L2217" s="542" t="s">
        <v>621</v>
      </c>
    </row>
    <row r="2218" spans="1:12" ht="15">
      <c r="A2218">
        <v>248249</v>
      </c>
      <c r="B2218" t="e">
        <f t="shared" si="94"/>
        <v>#N/A</v>
      </c>
      <c r="C2218" s="209" t="e">
        <f t="shared" si="95"/>
        <v>#N/A</v>
      </c>
      <c r="D2218" t="s">
        <v>5958</v>
      </c>
      <c r="E2218" t="e">
        <v>#N/A</v>
      </c>
      <c r="F2218" t="e">
        <v>#N/A</v>
      </c>
      <c r="G2218" t="e">
        <v>#N/A</v>
      </c>
      <c r="H2218" s="214">
        <v>507.495</v>
      </c>
      <c r="I2218" s="425" t="e">
        <v>#N/A</v>
      </c>
      <c r="J2218" s="91">
        <v>86.902289999999994</v>
      </c>
      <c r="K2218" s="425">
        <v>6993.3508499999998</v>
      </c>
      <c r="L2218" s="542" t="s">
        <v>621</v>
      </c>
    </row>
    <row r="2219" spans="1:12" ht="15">
      <c r="A2219">
        <v>248250</v>
      </c>
      <c r="B2219" t="e">
        <f t="shared" si="94"/>
        <v>#N/A</v>
      </c>
      <c r="C2219" s="209" t="e">
        <f t="shared" si="95"/>
        <v>#N/A</v>
      </c>
      <c r="D2219" t="s">
        <v>5959</v>
      </c>
      <c r="E2219" t="e">
        <v>#N/A</v>
      </c>
      <c r="F2219" t="e">
        <v>#N/A</v>
      </c>
      <c r="G2219" t="e">
        <v>#N/A</v>
      </c>
      <c r="H2219" s="214">
        <v>507.495</v>
      </c>
      <c r="I2219" s="425" t="e">
        <v>#N/A</v>
      </c>
      <c r="J2219" s="91">
        <v>86.902289999999994</v>
      </c>
      <c r="K2219" s="425">
        <v>6993.3508499999998</v>
      </c>
      <c r="L2219" s="542" t="s">
        <v>621</v>
      </c>
    </row>
    <row r="2220" spans="1:12" ht="15">
      <c r="A2220">
        <v>248251</v>
      </c>
      <c r="B2220" t="e">
        <f t="shared" si="94"/>
        <v>#N/A</v>
      </c>
      <c r="C2220" s="209" t="e">
        <f t="shared" si="95"/>
        <v>#N/A</v>
      </c>
      <c r="D2220" t="s">
        <v>5960</v>
      </c>
      <c r="E2220" t="e">
        <v>#N/A</v>
      </c>
      <c r="F2220" t="e">
        <v>#N/A</v>
      </c>
      <c r="G2220" t="e">
        <v>#N/A</v>
      </c>
      <c r="H2220" s="214">
        <v>431.31477999999998</v>
      </c>
      <c r="I2220" s="425" t="e">
        <v>#N/A</v>
      </c>
      <c r="J2220" s="91">
        <v>73.857349999999997</v>
      </c>
      <c r="K2220" s="425">
        <v>5943.5837000000001</v>
      </c>
      <c r="L2220" s="542" t="s">
        <v>621</v>
      </c>
    </row>
    <row r="2221" spans="1:12" ht="15">
      <c r="A2221">
        <v>248252</v>
      </c>
      <c r="B2221" t="e">
        <f t="shared" si="94"/>
        <v>#N/A</v>
      </c>
      <c r="C2221" s="209" t="e">
        <f t="shared" si="95"/>
        <v>#N/A</v>
      </c>
      <c r="D2221" t="s">
        <v>5961</v>
      </c>
      <c r="E2221" t="e">
        <v>#N/A</v>
      </c>
      <c r="F2221" t="e">
        <v>#N/A</v>
      </c>
      <c r="G2221" t="e">
        <v>#N/A</v>
      </c>
      <c r="H2221" s="214">
        <v>431.31477999999998</v>
      </c>
      <c r="I2221" s="425" t="e">
        <v>#N/A</v>
      </c>
      <c r="J2221" s="91">
        <v>73.857349999999997</v>
      </c>
      <c r="K2221" s="425">
        <v>5943.5837000000001</v>
      </c>
      <c r="L2221" s="542" t="s">
        <v>621</v>
      </c>
    </row>
    <row r="2222" spans="1:12" ht="15">
      <c r="A2222">
        <v>248253</v>
      </c>
      <c r="B2222" t="e">
        <f t="shared" si="94"/>
        <v>#N/A</v>
      </c>
      <c r="C2222" s="209" t="e">
        <f t="shared" si="95"/>
        <v>#N/A</v>
      </c>
      <c r="D2222" t="s">
        <v>5962</v>
      </c>
      <c r="E2222" t="e">
        <v>#N/A</v>
      </c>
      <c r="F2222" t="e">
        <v>#N/A</v>
      </c>
      <c r="G2222" t="e">
        <v>#N/A</v>
      </c>
      <c r="H2222" s="214">
        <v>488.45044999999999</v>
      </c>
      <c r="I2222" s="425" t="e">
        <v>#N/A</v>
      </c>
      <c r="J2222" s="91">
        <v>83.641130000000004</v>
      </c>
      <c r="K2222" s="425">
        <v>6730.9174199999998</v>
      </c>
      <c r="L2222" s="542" t="s">
        <v>621</v>
      </c>
    </row>
    <row r="2223" spans="1:12" ht="15">
      <c r="A2223">
        <v>248254</v>
      </c>
      <c r="B2223" t="e">
        <f t="shared" si="94"/>
        <v>#N/A</v>
      </c>
      <c r="C2223" s="209" t="e">
        <f t="shared" si="95"/>
        <v>#N/A</v>
      </c>
      <c r="D2223" t="s">
        <v>5963</v>
      </c>
      <c r="E2223" t="e">
        <v>#N/A</v>
      </c>
      <c r="F2223" t="e">
        <v>#N/A</v>
      </c>
      <c r="G2223" t="e">
        <v>#N/A</v>
      </c>
      <c r="H2223" s="214">
        <v>784.8</v>
      </c>
      <c r="I2223" s="425" t="e">
        <v>#N/A</v>
      </c>
      <c r="J2223" s="91">
        <v>134.38736</v>
      </c>
      <c r="K2223" s="425">
        <v>9831.5061100000003</v>
      </c>
      <c r="L2223" s="542" t="s">
        <v>621</v>
      </c>
    </row>
    <row r="2224" spans="1:12" ht="15">
      <c r="A2224">
        <v>248258</v>
      </c>
      <c r="B2224" t="e">
        <f t="shared" si="94"/>
        <v>#N/A</v>
      </c>
      <c r="C2224" s="209" t="e">
        <f t="shared" si="95"/>
        <v>#N/A</v>
      </c>
      <c r="D2224" t="s">
        <v>5964</v>
      </c>
      <c r="E2224" t="e">
        <v>#N/A</v>
      </c>
      <c r="F2224" t="e">
        <v>#N/A</v>
      </c>
      <c r="G2224" t="e">
        <v>#N/A</v>
      </c>
      <c r="H2224" s="214">
        <v>554.4</v>
      </c>
      <c r="I2224" s="425" t="e">
        <v>#N/A</v>
      </c>
      <c r="J2224" s="91">
        <v>94.934200000000004</v>
      </c>
      <c r="K2224" s="425">
        <v>6945.1923999999999</v>
      </c>
      <c r="L2224" s="542" t="s">
        <v>622</v>
      </c>
    </row>
    <row r="2225" spans="1:12" ht="15">
      <c r="A2225">
        <v>248259</v>
      </c>
      <c r="B2225" t="e">
        <f t="shared" si="94"/>
        <v>#N/A</v>
      </c>
      <c r="C2225" s="209" t="e">
        <f t="shared" si="95"/>
        <v>#N/A</v>
      </c>
      <c r="D2225" t="s">
        <v>5965</v>
      </c>
      <c r="E2225" t="e">
        <v>#N/A</v>
      </c>
      <c r="F2225" t="e">
        <v>#N/A</v>
      </c>
      <c r="G2225" t="e">
        <v>#N/A</v>
      </c>
      <c r="H2225" s="214">
        <v>1035.1561200000001</v>
      </c>
      <c r="I2225" s="425" t="e">
        <v>#N/A</v>
      </c>
      <c r="J2225" s="91">
        <v>177.25775999999999</v>
      </c>
      <c r="K2225" s="425">
        <v>14264.59764</v>
      </c>
      <c r="L2225" s="542" t="s">
        <v>621</v>
      </c>
    </row>
    <row r="2226" spans="1:12" ht="15">
      <c r="A2226">
        <v>248260</v>
      </c>
      <c r="B2226" t="e">
        <f t="shared" si="94"/>
        <v>#N/A</v>
      </c>
      <c r="C2226" s="209" t="e">
        <f t="shared" si="95"/>
        <v>#N/A</v>
      </c>
      <c r="D2226" t="s">
        <v>5966</v>
      </c>
      <c r="E2226" t="e">
        <v>#N/A</v>
      </c>
      <c r="F2226" t="e">
        <v>#N/A</v>
      </c>
      <c r="G2226" t="e">
        <v>#N/A</v>
      </c>
      <c r="H2226" s="214">
        <v>126.59386000000001</v>
      </c>
      <c r="I2226" s="425" t="e">
        <v>#N/A</v>
      </c>
      <c r="J2226" s="91">
        <v>21.67764</v>
      </c>
      <c r="K2226" s="425">
        <v>1744.4822300000001</v>
      </c>
      <c r="L2226" s="542" t="s">
        <v>621</v>
      </c>
    </row>
    <row r="2227" spans="1:12" ht="15">
      <c r="A2227">
        <v>248261</v>
      </c>
      <c r="B2227" t="e">
        <f t="shared" si="94"/>
        <v>#N/A</v>
      </c>
      <c r="C2227" s="209" t="e">
        <f t="shared" si="95"/>
        <v>#N/A</v>
      </c>
      <c r="D2227" t="s">
        <v>5967</v>
      </c>
      <c r="E2227" t="e">
        <v>#N/A</v>
      </c>
      <c r="F2227" t="e">
        <v>#N/A</v>
      </c>
      <c r="G2227" t="e">
        <v>#N/A</v>
      </c>
      <c r="H2227" s="214">
        <v>345.05182000000002</v>
      </c>
      <c r="I2227" s="425" t="e">
        <v>#N/A</v>
      </c>
      <c r="J2227" s="91">
        <v>59.085889999999999</v>
      </c>
      <c r="K2227" s="425">
        <v>4754.8602099999998</v>
      </c>
      <c r="L2227" s="542" t="s">
        <v>621</v>
      </c>
    </row>
    <row r="2228" spans="1:12" ht="15">
      <c r="A2228">
        <v>248262</v>
      </c>
      <c r="B2228" t="e">
        <f t="shared" si="94"/>
        <v>#N/A</v>
      </c>
      <c r="C2228" s="209" t="e">
        <f t="shared" si="95"/>
        <v>#N/A</v>
      </c>
      <c r="D2228" t="s">
        <v>5968</v>
      </c>
      <c r="E2228" t="e">
        <v>#N/A</v>
      </c>
      <c r="F2228" t="e">
        <v>#N/A</v>
      </c>
      <c r="G2228" t="e">
        <v>#N/A</v>
      </c>
      <c r="H2228" s="214">
        <v>431.31477999999998</v>
      </c>
      <c r="I2228" s="425" t="e">
        <v>#N/A</v>
      </c>
      <c r="J2228" s="91">
        <v>73.857349999999997</v>
      </c>
      <c r="K2228" s="425">
        <v>5943.5837000000001</v>
      </c>
      <c r="L2228" s="542" t="s">
        <v>621</v>
      </c>
    </row>
    <row r="2229" spans="1:12" ht="15">
      <c r="A2229">
        <v>248263</v>
      </c>
      <c r="B2229" t="e">
        <f t="shared" si="94"/>
        <v>#N/A</v>
      </c>
      <c r="C2229" s="209" t="e">
        <f t="shared" si="95"/>
        <v>#N/A</v>
      </c>
      <c r="D2229" t="s">
        <v>5969</v>
      </c>
      <c r="E2229" t="e">
        <v>#N/A</v>
      </c>
      <c r="F2229" t="e">
        <v>#N/A</v>
      </c>
      <c r="G2229" t="e">
        <v>#N/A</v>
      </c>
      <c r="H2229" s="214">
        <v>1641.6</v>
      </c>
      <c r="I2229" s="425" t="e">
        <v>#N/A</v>
      </c>
      <c r="J2229" s="91">
        <v>281.10383000000002</v>
      </c>
      <c r="K2229" s="425">
        <v>20564.985280000001</v>
      </c>
      <c r="L2229" s="542" t="s">
        <v>623</v>
      </c>
    </row>
    <row r="2230" spans="1:12" ht="15">
      <c r="A2230">
        <v>248264</v>
      </c>
      <c r="B2230" t="e">
        <f t="shared" si="94"/>
        <v>#N/A</v>
      </c>
      <c r="C2230" s="209" t="e">
        <f t="shared" si="95"/>
        <v>#N/A</v>
      </c>
      <c r="D2230" t="s">
        <v>5970</v>
      </c>
      <c r="E2230" t="e">
        <v>#N/A</v>
      </c>
      <c r="F2230" t="e">
        <v>#N/A</v>
      </c>
      <c r="G2230" t="e">
        <v>#N/A</v>
      </c>
      <c r="H2230" s="214">
        <v>1641.6</v>
      </c>
      <c r="I2230" s="425" t="e">
        <v>#N/A</v>
      </c>
      <c r="J2230" s="91">
        <v>281.10383000000002</v>
      </c>
      <c r="K2230" s="425">
        <v>20564.985280000001</v>
      </c>
      <c r="L2230" s="542" t="s">
        <v>623</v>
      </c>
    </row>
    <row r="2231" spans="1:12" ht="15">
      <c r="A2231">
        <v>248265</v>
      </c>
      <c r="B2231" t="e">
        <f t="shared" si="94"/>
        <v>#N/A</v>
      </c>
      <c r="C2231" s="209" t="e">
        <f t="shared" si="95"/>
        <v>#N/A</v>
      </c>
      <c r="D2231" t="s">
        <v>5971</v>
      </c>
      <c r="E2231" t="e">
        <v>#N/A</v>
      </c>
      <c r="F2231" t="e">
        <v>#N/A</v>
      </c>
      <c r="G2231" t="e">
        <v>#N/A</v>
      </c>
      <c r="H2231" s="214">
        <v>462.6</v>
      </c>
      <c r="I2231" s="425" t="e">
        <v>#N/A</v>
      </c>
      <c r="J2231" s="91">
        <v>79.214569999999995</v>
      </c>
      <c r="K2231" s="425">
        <v>5795.17677</v>
      </c>
      <c r="L2231" s="542" t="s">
        <v>623</v>
      </c>
    </row>
    <row r="2232" spans="1:12" ht="15">
      <c r="A2232">
        <v>248266</v>
      </c>
      <c r="B2232" t="e">
        <f t="shared" si="94"/>
        <v>#N/A</v>
      </c>
      <c r="C2232" s="209" t="e">
        <f t="shared" si="95"/>
        <v>#N/A</v>
      </c>
      <c r="D2232" t="s">
        <v>5972</v>
      </c>
      <c r="E2232" t="e">
        <v>#N/A</v>
      </c>
      <c r="F2232" t="e">
        <v>#N/A</v>
      </c>
      <c r="G2232" t="e">
        <v>#N/A</v>
      </c>
      <c r="H2232" s="214">
        <v>462.6</v>
      </c>
      <c r="I2232" s="425" t="e">
        <v>#N/A</v>
      </c>
      <c r="J2232" s="91">
        <v>79.214569999999995</v>
      </c>
      <c r="K2232" s="425">
        <v>5795.17677</v>
      </c>
      <c r="L2232" s="542" t="s">
        <v>623</v>
      </c>
    </row>
    <row r="2233" spans="1:12" ht="15">
      <c r="A2233">
        <v>248268</v>
      </c>
      <c r="B2233" t="e">
        <f t="shared" si="94"/>
        <v>#N/A</v>
      </c>
      <c r="C2233" s="209" t="e">
        <f t="shared" si="95"/>
        <v>#N/A</v>
      </c>
      <c r="D2233" t="s">
        <v>5973</v>
      </c>
      <c r="E2233" t="e">
        <v>#N/A</v>
      </c>
      <c r="F2233" t="e">
        <v>#N/A</v>
      </c>
      <c r="G2233" t="e">
        <v>#N/A</v>
      </c>
      <c r="H2233" s="214">
        <v>462.6</v>
      </c>
      <c r="I2233" s="425" t="e">
        <v>#N/A</v>
      </c>
      <c r="J2233" s="91">
        <v>79.214569999999995</v>
      </c>
      <c r="K2233" s="425">
        <v>5795.17677</v>
      </c>
      <c r="L2233" s="542" t="s">
        <v>623</v>
      </c>
    </row>
    <row r="2234" spans="1:12" ht="15">
      <c r="A2234">
        <v>248270</v>
      </c>
      <c r="B2234" t="e">
        <f t="shared" si="94"/>
        <v>#N/A</v>
      </c>
      <c r="C2234" s="209" t="e">
        <f t="shared" si="95"/>
        <v>#N/A</v>
      </c>
      <c r="D2234" t="s">
        <v>5974</v>
      </c>
      <c r="E2234" t="e">
        <v>#N/A</v>
      </c>
      <c r="F2234" t="e">
        <v>#N/A</v>
      </c>
      <c r="G2234" t="e">
        <v>#N/A</v>
      </c>
      <c r="H2234" s="214">
        <v>815.4</v>
      </c>
      <c r="I2234" s="425" t="e">
        <v>#N/A</v>
      </c>
      <c r="J2234" s="91">
        <v>139.62724</v>
      </c>
      <c r="K2234" s="425">
        <v>10214.844660000001</v>
      </c>
      <c r="L2234" s="542" t="s">
        <v>622</v>
      </c>
    </row>
    <row r="2235" spans="1:12" ht="15">
      <c r="A2235">
        <v>249432</v>
      </c>
      <c r="B2235" t="e">
        <f t="shared" si="94"/>
        <v>#N/A</v>
      </c>
      <c r="C2235" s="209" t="e">
        <f t="shared" si="95"/>
        <v>#N/A</v>
      </c>
      <c r="D2235" t="s">
        <v>5975</v>
      </c>
      <c r="E2235" t="e">
        <v>#N/A</v>
      </c>
      <c r="F2235" t="e">
        <v>#N/A</v>
      </c>
      <c r="G2235" t="e">
        <v>#N/A</v>
      </c>
      <c r="H2235" s="214">
        <v>428.74986000000001</v>
      </c>
      <c r="I2235" s="425" t="e">
        <v>#N/A</v>
      </c>
      <c r="J2235" s="91">
        <v>80.069730000000007</v>
      </c>
      <c r="K2235" s="425">
        <v>6261.1840400000001</v>
      </c>
      <c r="L2235" s="542" t="s">
        <v>622</v>
      </c>
    </row>
    <row r="2236" spans="1:12" ht="15">
      <c r="A2236">
        <v>249446</v>
      </c>
      <c r="B2236" t="e">
        <f t="shared" si="94"/>
        <v>#N/A</v>
      </c>
      <c r="C2236" s="209" t="e">
        <f t="shared" si="95"/>
        <v>#N/A</v>
      </c>
      <c r="D2236" t="s">
        <v>5976</v>
      </c>
      <c r="E2236" t="e">
        <v>#N/A</v>
      </c>
      <c r="F2236" t="e">
        <v>#N/A</v>
      </c>
      <c r="G2236" t="e">
        <v>#N/A</v>
      </c>
      <c r="H2236" s="214">
        <v>258.28816</v>
      </c>
      <c r="I2236" s="425" t="e">
        <v>#N/A</v>
      </c>
      <c r="J2236" s="91">
        <v>48.238230000000001</v>
      </c>
      <c r="K2236" s="425">
        <v>3889.8149199999998</v>
      </c>
      <c r="L2236" s="542" t="s">
        <v>622</v>
      </c>
    </row>
    <row r="2237" spans="1:12" ht="15">
      <c r="A2237">
        <v>249840</v>
      </c>
      <c r="B2237" t="e">
        <f t="shared" si="94"/>
        <v>#N/A</v>
      </c>
      <c r="C2237" s="209" t="e">
        <f t="shared" si="95"/>
        <v>#N/A</v>
      </c>
      <c r="D2237" t="s">
        <v>5977</v>
      </c>
      <c r="E2237" t="e">
        <v>#N/A</v>
      </c>
      <c r="F2237" t="e">
        <v>#N/A</v>
      </c>
      <c r="G2237" t="e">
        <v>#N/A</v>
      </c>
      <c r="H2237" s="214">
        <v>140.61250000000001</v>
      </c>
      <c r="I2237" s="425" t="e">
        <v>#N/A</v>
      </c>
      <c r="J2237" s="91">
        <v>31.703530000000001</v>
      </c>
      <c r="K2237" s="425">
        <v>2702.3936899999999</v>
      </c>
      <c r="L2237" s="542" t="s">
        <v>622</v>
      </c>
    </row>
    <row r="2238" spans="1:12" ht="15">
      <c r="A2238">
        <v>278305</v>
      </c>
      <c r="B2238" t="e">
        <f t="shared" si="94"/>
        <v>#N/A</v>
      </c>
      <c r="C2238" s="209" t="e">
        <f t="shared" si="95"/>
        <v>#N/A</v>
      </c>
      <c r="D2238" t="s">
        <v>5978</v>
      </c>
      <c r="E2238" t="e">
        <v>#N/A</v>
      </c>
      <c r="F2238" t="e">
        <v>#N/A</v>
      </c>
      <c r="G2238" t="e">
        <v>#N/A</v>
      </c>
      <c r="H2238" s="214">
        <v>9.7205200000000005</v>
      </c>
      <c r="I2238" s="425" t="e">
        <v>#N/A</v>
      </c>
      <c r="J2238" s="91">
        <v>1.81541</v>
      </c>
      <c r="K2238" s="425">
        <v>146.39089999999999</v>
      </c>
      <c r="L2238" s="542" t="s">
        <v>622</v>
      </c>
    </row>
    <row r="2239" spans="1:12" ht="15">
      <c r="A2239">
        <v>279404</v>
      </c>
      <c r="B2239" t="e">
        <f t="shared" ref="B2239:B2278" si="96">IF($A$2=1,D2239,IF($A$2=2,F2239,IF($A$2=3,G2239,IF($A$2=4,E2239,"zadat jazyk"))))</f>
        <v>#N/A</v>
      </c>
      <c r="C2239" s="209" t="e">
        <f t="shared" ref="C2239:C2278" si="97">IF($A$2=1,H2239,IF($A$2=2,I2239,IF($A$2=3,J2239,IF($A$2=4,K2239,"zadat jazyk"))))</f>
        <v>#N/A</v>
      </c>
      <c r="D2239" t="s">
        <v>5979</v>
      </c>
      <c r="E2239" t="e">
        <v>#N/A</v>
      </c>
      <c r="F2239" t="e">
        <v>#N/A</v>
      </c>
      <c r="G2239" t="e">
        <v>#N/A</v>
      </c>
      <c r="H2239" s="214">
        <v>321.125</v>
      </c>
      <c r="I2239" s="425" t="e">
        <v>#N/A</v>
      </c>
      <c r="J2239" s="91">
        <v>72.403229999999994</v>
      </c>
      <c r="K2239" s="425">
        <v>6171.6145900000001</v>
      </c>
      <c r="L2239" s="542" t="s">
        <v>622</v>
      </c>
    </row>
    <row r="2240" spans="1:12" ht="15">
      <c r="A2240">
        <v>281867</v>
      </c>
      <c r="B2240" t="str">
        <f t="shared" si="96"/>
        <v>SEVROLL Factor 18 II 2,70m RAL9003 mat</v>
      </c>
      <c r="C2240" s="209" t="e">
        <f t="shared" si="97"/>
        <v>#N/A</v>
      </c>
      <c r="D2240" t="s">
        <v>5980</v>
      </c>
      <c r="E2240" t="s">
        <v>6827</v>
      </c>
      <c r="F2240" t="s">
        <v>5980</v>
      </c>
      <c r="G2240" t="s">
        <v>7945</v>
      </c>
      <c r="H2240" s="214">
        <v>0</v>
      </c>
      <c r="I2240" s="425" t="e">
        <v>#N/A</v>
      </c>
      <c r="J2240" s="91">
        <v>0</v>
      </c>
      <c r="K2240" s="425">
        <v>0</v>
      </c>
      <c r="L2240" s="542" t="s">
        <v>622</v>
      </c>
    </row>
    <row r="2241" spans="1:12" ht="15">
      <c r="A2241">
        <v>281980</v>
      </c>
      <c r="B2241" t="e">
        <f t="shared" si="96"/>
        <v>#N/A</v>
      </c>
      <c r="C2241" s="209" t="e">
        <f t="shared" si="97"/>
        <v>#N/A</v>
      </c>
      <c r="D2241" t="s">
        <v>5981</v>
      </c>
      <c r="E2241" t="e">
        <v>#N/A</v>
      </c>
      <c r="F2241" t="e">
        <v>#N/A</v>
      </c>
      <c r="G2241" t="e">
        <v>#N/A</v>
      </c>
      <c r="H2241" s="214">
        <v>1453.91236</v>
      </c>
      <c r="I2241" s="425" t="e">
        <v>#N/A</v>
      </c>
      <c r="J2241" s="91">
        <v>271.53456999999997</v>
      </c>
      <c r="K2241" s="425">
        <v>21895.893639999998</v>
      </c>
      <c r="L2241" s="542" t="s">
        <v>622</v>
      </c>
    </row>
    <row r="2242" spans="1:12" ht="15">
      <c r="A2242">
        <v>282183</v>
      </c>
      <c r="B2242" t="str">
        <f t="shared" si="96"/>
        <v>SEVROLL Fox II úchytová lišta 2,7m RAL9005 m</v>
      </c>
      <c r="C2242" s="209" t="e">
        <f t="shared" si="97"/>
        <v>#N/A</v>
      </c>
      <c r="D2242" t="s">
        <v>5982</v>
      </c>
      <c r="E2242" t="s">
        <v>6828</v>
      </c>
      <c r="F2242" t="s">
        <v>7327</v>
      </c>
      <c r="G2242" t="s">
        <v>7946</v>
      </c>
      <c r="H2242" s="214">
        <v>0</v>
      </c>
      <c r="I2242" s="425" t="e">
        <v>#N/A</v>
      </c>
      <c r="J2242" s="91">
        <v>0</v>
      </c>
      <c r="K2242" s="425">
        <v>0</v>
      </c>
      <c r="L2242" s="542" t="s">
        <v>622</v>
      </c>
    </row>
    <row r="2243" spans="1:12" ht="15">
      <c r="A2243">
        <v>282185</v>
      </c>
      <c r="B2243" t="str">
        <f t="shared" si="96"/>
        <v>SEVROLL Gemini horné vedenie 4,05m RAL9005 m</v>
      </c>
      <c r="C2243" s="209" t="e">
        <f t="shared" si="97"/>
        <v>#N/A</v>
      </c>
      <c r="D2243" t="s">
        <v>5983</v>
      </c>
      <c r="E2243" t="s">
        <v>6829</v>
      </c>
      <c r="F2243" t="s">
        <v>7328</v>
      </c>
      <c r="G2243" t="s">
        <v>7947</v>
      </c>
      <c r="H2243" s="214">
        <v>0</v>
      </c>
      <c r="I2243" s="425" t="e">
        <v>#N/A</v>
      </c>
      <c r="J2243" s="91">
        <v>0</v>
      </c>
      <c r="K2243" s="425">
        <v>0</v>
      </c>
      <c r="L2243" s="542" t="s">
        <v>622</v>
      </c>
    </row>
    <row r="2244" spans="1:12" ht="15">
      <c r="A2244">
        <v>282188</v>
      </c>
      <c r="B2244" t="str">
        <f t="shared" si="96"/>
        <v>SEVROLL horná vodiaca lišta 3m RAL9005 mat</v>
      </c>
      <c r="C2244" s="209" t="e">
        <f t="shared" si="97"/>
        <v>#N/A</v>
      </c>
      <c r="D2244" t="s">
        <v>5984</v>
      </c>
      <c r="E2244" t="s">
        <v>6830</v>
      </c>
      <c r="F2244" t="s">
        <v>7329</v>
      </c>
      <c r="G2244" t="s">
        <v>7948</v>
      </c>
      <c r="H2244" s="214">
        <v>0</v>
      </c>
      <c r="I2244" s="425" t="e">
        <v>#N/A</v>
      </c>
      <c r="J2244" s="91">
        <v>0</v>
      </c>
      <c r="K2244" s="425">
        <v>0</v>
      </c>
      <c r="L2244" s="542" t="s">
        <v>622</v>
      </c>
    </row>
    <row r="2245" spans="1:12" ht="15">
      <c r="A2245">
        <v>282189</v>
      </c>
      <c r="B2245" t="str">
        <f t="shared" si="96"/>
        <v>SEVROLL spodná krycia lišta 3m RAL9005 mat</v>
      </c>
      <c r="C2245" s="209" t="e">
        <f t="shared" si="97"/>
        <v>#N/A</v>
      </c>
      <c r="D2245" t="s">
        <v>5985</v>
      </c>
      <c r="E2245" t="s">
        <v>6831</v>
      </c>
      <c r="F2245" t="s">
        <v>7330</v>
      </c>
      <c r="G2245" t="s">
        <v>7949</v>
      </c>
      <c r="H2245" s="214">
        <v>0</v>
      </c>
      <c r="I2245" s="425" t="e">
        <v>#N/A</v>
      </c>
      <c r="J2245" s="91">
        <v>0</v>
      </c>
      <c r="K2245" s="425">
        <v>0</v>
      </c>
      <c r="L2245" s="542" t="s">
        <v>622</v>
      </c>
    </row>
    <row r="2246" spans="1:12" ht="15">
      <c r="A2246">
        <v>282191</v>
      </c>
      <c r="B2246" t="str">
        <f t="shared" si="96"/>
        <v>SEVROLL spojovacia lišta H10 3m RAL9005 mat</v>
      </c>
      <c r="C2246" s="209" t="e">
        <f t="shared" si="97"/>
        <v>#N/A</v>
      </c>
      <c r="D2246" t="s">
        <v>5986</v>
      </c>
      <c r="E2246" t="s">
        <v>6832</v>
      </c>
      <c r="F2246" t="s">
        <v>7331</v>
      </c>
      <c r="G2246" t="s">
        <v>7950</v>
      </c>
      <c r="H2246" s="214">
        <v>0</v>
      </c>
      <c r="I2246" s="425" t="e">
        <v>#N/A</v>
      </c>
      <c r="J2246" s="91">
        <v>0</v>
      </c>
      <c r="K2246" s="425">
        <v>0</v>
      </c>
      <c r="L2246" s="542" t="s">
        <v>622</v>
      </c>
    </row>
    <row r="2247" spans="1:12" ht="15">
      <c r="A2247">
        <v>259427</v>
      </c>
      <c r="B2247" t="e">
        <f t="shared" si="96"/>
        <v>#N/A</v>
      </c>
      <c r="C2247" s="209" t="e">
        <f t="shared" si="97"/>
        <v>#N/A</v>
      </c>
      <c r="D2247" t="s">
        <v>5987</v>
      </c>
      <c r="E2247" t="e">
        <v>#N/A</v>
      </c>
      <c r="F2247" t="e">
        <v>#N/A</v>
      </c>
      <c r="G2247" t="e">
        <v>#N/A</v>
      </c>
      <c r="H2247" s="214">
        <v>226.625</v>
      </c>
      <c r="I2247" s="425" t="e">
        <v>#N/A</v>
      </c>
      <c r="J2247" s="91">
        <v>51.096550000000001</v>
      </c>
      <c r="K2247" s="425">
        <v>4355.4446699999999</v>
      </c>
      <c r="L2247" s="542" t="s">
        <v>622</v>
      </c>
    </row>
    <row r="2248" spans="1:12" ht="15">
      <c r="A2248">
        <v>259428</v>
      </c>
      <c r="B2248" t="e">
        <f t="shared" si="96"/>
        <v>#N/A</v>
      </c>
      <c r="C2248" s="209" t="e">
        <f t="shared" si="97"/>
        <v>#N/A</v>
      </c>
      <c r="D2248" t="s">
        <v>5988</v>
      </c>
      <c r="E2248" t="e">
        <v>#N/A</v>
      </c>
      <c r="F2248" t="e">
        <v>#N/A</v>
      </c>
      <c r="G2248" t="e">
        <v>#N/A</v>
      </c>
      <c r="H2248" s="214">
        <v>73.5</v>
      </c>
      <c r="I2248" s="425" t="e">
        <v>#N/A</v>
      </c>
      <c r="J2248" s="91">
        <v>16.571850000000001</v>
      </c>
      <c r="K2248" s="425">
        <v>1412.5766100000001</v>
      </c>
      <c r="L2248" s="542" t="s">
        <v>622</v>
      </c>
    </row>
    <row r="2249" spans="1:12" ht="15">
      <c r="A2249">
        <v>259432</v>
      </c>
      <c r="B2249" t="e">
        <f t="shared" si="96"/>
        <v>#N/A</v>
      </c>
      <c r="C2249" s="209" t="e">
        <f t="shared" si="97"/>
        <v>#N/A</v>
      </c>
      <c r="D2249" t="s">
        <v>5989</v>
      </c>
      <c r="E2249" t="e">
        <v>#N/A</v>
      </c>
      <c r="F2249" t="e">
        <v>#N/A</v>
      </c>
      <c r="G2249" t="e">
        <v>#N/A</v>
      </c>
      <c r="H2249" s="214">
        <v>395.77373999999998</v>
      </c>
      <c r="I2249" s="425" t="e">
        <v>#N/A</v>
      </c>
      <c r="J2249" s="91">
        <v>73.915229999999994</v>
      </c>
      <c r="K2249" s="425">
        <v>5779.9223199999997</v>
      </c>
      <c r="L2249" s="542" t="s">
        <v>622</v>
      </c>
    </row>
    <row r="2250" spans="1:12" ht="15">
      <c r="A2250">
        <v>260284</v>
      </c>
      <c r="B2250" t="e">
        <f t="shared" si="96"/>
        <v>#N/A</v>
      </c>
      <c r="C2250" s="209" t="e">
        <f t="shared" si="97"/>
        <v>#N/A</v>
      </c>
      <c r="D2250" t="s">
        <v>5990</v>
      </c>
      <c r="E2250" t="e">
        <v>#N/A</v>
      </c>
      <c r="F2250" t="e">
        <v>#N/A</v>
      </c>
      <c r="G2250" t="e">
        <v>#N/A</v>
      </c>
      <c r="H2250" s="214">
        <v>76.111999999999995</v>
      </c>
      <c r="I2250" s="425" t="e">
        <v>#N/A</v>
      </c>
      <c r="J2250" s="91">
        <v>9.2389899999999994</v>
      </c>
      <c r="K2250" s="425">
        <v>854.15746000000001</v>
      </c>
      <c r="L2250" s="542" t="s">
        <v>622</v>
      </c>
    </row>
    <row r="2251" spans="1:12" ht="15">
      <c r="A2251">
        <v>260393</v>
      </c>
      <c r="B2251" t="e">
        <f t="shared" si="96"/>
        <v>#N/A</v>
      </c>
      <c r="C2251" s="209" t="e">
        <f t="shared" si="97"/>
        <v>#N/A</v>
      </c>
      <c r="D2251" t="s">
        <v>5991</v>
      </c>
      <c r="E2251" t="e">
        <v>#N/A</v>
      </c>
      <c r="F2251" t="e">
        <v>#N/A</v>
      </c>
      <c r="G2251" t="e">
        <v>#N/A</v>
      </c>
      <c r="H2251" s="214">
        <v>486.02609999999999</v>
      </c>
      <c r="I2251" s="425" t="e">
        <v>#N/A</v>
      </c>
      <c r="J2251" s="91">
        <v>90.770870000000002</v>
      </c>
      <c r="K2251" s="425">
        <v>7319.5442000000003</v>
      </c>
      <c r="L2251" s="542" t="s">
        <v>622</v>
      </c>
    </row>
    <row r="2252" spans="1:12" ht="15">
      <c r="A2252">
        <v>188667</v>
      </c>
      <c r="B2252" t="e">
        <f t="shared" si="96"/>
        <v>#N/A</v>
      </c>
      <c r="C2252" s="209" t="e">
        <f t="shared" si="97"/>
        <v>#N/A</v>
      </c>
      <c r="D2252" t="s">
        <v>5992</v>
      </c>
      <c r="E2252" t="e">
        <v>#N/A</v>
      </c>
      <c r="F2252" t="e">
        <v>#N/A</v>
      </c>
      <c r="G2252" t="e">
        <v>#N/A</v>
      </c>
      <c r="H2252" s="214">
        <v>17230.599999999999</v>
      </c>
      <c r="I2252" s="425" t="e">
        <v>#N/A</v>
      </c>
      <c r="J2252" s="91">
        <v>1630.2721899999999</v>
      </c>
      <c r="K2252" s="425">
        <v>150720.99447999999</v>
      </c>
      <c r="L2252" s="542" t="s">
        <v>622</v>
      </c>
    </row>
    <row r="2253" spans="1:12" ht="15">
      <c r="A2253">
        <v>189591</v>
      </c>
      <c r="B2253" t="str">
        <f t="shared" si="96"/>
        <v>SEVROLL sada Apollo 2/756</v>
      </c>
      <c r="C2253" s="209">
        <f t="shared" si="97"/>
        <v>28.780180000000001</v>
      </c>
      <c r="D2253" t="s">
        <v>5993</v>
      </c>
      <c r="E2253" t="s">
        <v>6833</v>
      </c>
      <c r="F2253" t="s">
        <v>7332</v>
      </c>
      <c r="G2253" t="s">
        <v>7951</v>
      </c>
      <c r="H2253" s="214">
        <v>605.4701</v>
      </c>
      <c r="I2253" s="425">
        <v>28.780180000000001</v>
      </c>
      <c r="J2253" s="91">
        <v>88.56</v>
      </c>
      <c r="K2253" s="425">
        <v>8448.0464900000006</v>
      </c>
      <c r="L2253" s="542" t="s">
        <v>622</v>
      </c>
    </row>
    <row r="2254" spans="1:12" ht="15">
      <c r="A2254">
        <v>190488</v>
      </c>
      <c r="B2254" t="str">
        <f t="shared" si="96"/>
        <v>SEVROLL sada kovania ZSE-10 PLUS</v>
      </c>
      <c r="C2254" s="209">
        <f t="shared" si="97"/>
        <v>75.68656</v>
      </c>
      <c r="D2254" t="s">
        <v>5994</v>
      </c>
      <c r="E2254" t="s">
        <v>6834</v>
      </c>
      <c r="F2254" t="s">
        <v>7333</v>
      </c>
      <c r="G2254" t="s">
        <v>7952</v>
      </c>
      <c r="H2254" s="214">
        <v>2180.58752</v>
      </c>
      <c r="I2254" s="425">
        <v>75.68656</v>
      </c>
      <c r="J2254" s="91">
        <v>257.69</v>
      </c>
      <c r="K2254" s="425">
        <v>24706.674029999998</v>
      </c>
      <c r="L2254" s="542" t="s">
        <v>622</v>
      </c>
    </row>
    <row r="2255" spans="1:12" ht="15">
      <c r="A2255">
        <v>190831</v>
      </c>
      <c r="B2255" t="str">
        <f t="shared" si="96"/>
        <v>SEVROLL sada kovania ZSE-18</v>
      </c>
      <c r="C2255" s="209">
        <f t="shared" si="97"/>
        <v>50.883540000000004</v>
      </c>
      <c r="D2255" t="s">
        <v>5995</v>
      </c>
      <c r="E2255" t="s">
        <v>6835</v>
      </c>
      <c r="F2255" t="s">
        <v>7334</v>
      </c>
      <c r="G2255" t="s">
        <v>7953</v>
      </c>
      <c r="H2255" s="214">
        <v>1465.3491200000001</v>
      </c>
      <c r="I2255" s="425">
        <v>50.883540000000004</v>
      </c>
      <c r="J2255" s="91">
        <v>173.17</v>
      </c>
      <c r="K2255" s="425">
        <v>16602.82044</v>
      </c>
      <c r="L2255" s="542" t="s">
        <v>622</v>
      </c>
    </row>
    <row r="2256" spans="1:12" ht="15">
      <c r="A2256">
        <v>190832</v>
      </c>
      <c r="B2256" t="str">
        <f t="shared" si="96"/>
        <v>SEVROLL sada kovania ZSE-18 PLUS</v>
      </c>
      <c r="C2256" s="209">
        <f t="shared" si="97"/>
        <v>74.553669999999997</v>
      </c>
      <c r="D2256" t="s">
        <v>5996</v>
      </c>
      <c r="E2256" t="s">
        <v>6836</v>
      </c>
      <c r="F2256" t="s">
        <v>7335</v>
      </c>
      <c r="G2256" t="s">
        <v>7954</v>
      </c>
      <c r="H2256" s="214">
        <v>2147.1385599999999</v>
      </c>
      <c r="I2256" s="425">
        <v>74.553669999999997</v>
      </c>
      <c r="J2256" s="91">
        <v>253.74</v>
      </c>
      <c r="K2256" s="425">
        <v>24327.687849999998</v>
      </c>
      <c r="L2256" s="542" t="s">
        <v>622</v>
      </c>
    </row>
    <row r="2257" spans="1:12" ht="15">
      <c r="A2257">
        <v>190841</v>
      </c>
      <c r="B2257" t="str">
        <f t="shared" si="96"/>
        <v>SEVROLL sada kovania ZSE-18 Plus</v>
      </c>
      <c r="C2257" s="209">
        <f t="shared" si="97"/>
        <v>74.818820000000002</v>
      </c>
      <c r="D2257" t="s">
        <v>5997</v>
      </c>
      <c r="E2257" t="s">
        <v>6837</v>
      </c>
      <c r="F2257" t="s">
        <v>7336</v>
      </c>
      <c r="G2257" t="s">
        <v>7955</v>
      </c>
      <c r="H2257" s="214">
        <v>2154.96704</v>
      </c>
      <c r="I2257" s="425">
        <v>74.818820000000002</v>
      </c>
      <c r="J2257" s="91">
        <v>254.66</v>
      </c>
      <c r="K2257" s="425">
        <v>24416.386740000002</v>
      </c>
      <c r="L2257" s="542" t="s">
        <v>622</v>
      </c>
    </row>
    <row r="2258" spans="1:12" ht="15">
      <c r="A2258">
        <v>191628</v>
      </c>
      <c r="B2258" t="e">
        <f t="shared" si="96"/>
        <v>#N/A</v>
      </c>
      <c r="C2258" s="209" t="e">
        <f t="shared" si="97"/>
        <v>#N/A</v>
      </c>
      <c r="D2258" t="s">
        <v>5998</v>
      </c>
      <c r="E2258" t="e">
        <v>#N/A</v>
      </c>
      <c r="F2258" t="e">
        <v>#N/A</v>
      </c>
      <c r="G2258" t="e">
        <v>#N/A</v>
      </c>
      <c r="H2258" s="214">
        <v>239.75</v>
      </c>
      <c r="I2258" s="425" t="e">
        <v>#N/A</v>
      </c>
      <c r="J2258" s="91">
        <v>54.055810000000001</v>
      </c>
      <c r="K2258" s="425">
        <v>4607.6903499999999</v>
      </c>
      <c r="L2258" s="542" t="s">
        <v>622</v>
      </c>
    </row>
    <row r="2259" spans="1:12" ht="15">
      <c r="A2259">
        <v>191629</v>
      </c>
      <c r="B2259" t="e">
        <f t="shared" si="96"/>
        <v>#N/A</v>
      </c>
      <c r="C2259" s="209" t="e">
        <f t="shared" si="97"/>
        <v>#N/A</v>
      </c>
      <c r="D2259" t="s">
        <v>5999</v>
      </c>
      <c r="E2259" t="e">
        <v>#N/A</v>
      </c>
      <c r="F2259" t="e">
        <v>#N/A</v>
      </c>
      <c r="G2259" t="e">
        <v>#N/A</v>
      </c>
      <c r="H2259" s="214">
        <v>353.5</v>
      </c>
      <c r="I2259" s="425" t="e">
        <v>#N/A</v>
      </c>
      <c r="J2259" s="91">
        <v>79.702730000000003</v>
      </c>
      <c r="K2259" s="425">
        <v>6793.8208000000004</v>
      </c>
      <c r="L2259" s="542" t="s">
        <v>622</v>
      </c>
    </row>
    <row r="2260" spans="1:12" ht="15">
      <c r="A2260">
        <v>191632</v>
      </c>
      <c r="B2260" t="e">
        <f t="shared" si="96"/>
        <v>#N/A</v>
      </c>
      <c r="C2260" s="209" t="e">
        <f t="shared" si="97"/>
        <v>#N/A</v>
      </c>
      <c r="D2260" t="s">
        <v>6000</v>
      </c>
      <c r="E2260" t="e">
        <v>#N/A</v>
      </c>
      <c r="F2260" t="e">
        <v>#N/A</v>
      </c>
      <c r="G2260" t="e">
        <v>#N/A</v>
      </c>
      <c r="H2260" s="214">
        <v>108.5</v>
      </c>
      <c r="I2260" s="425" t="e">
        <v>#N/A</v>
      </c>
      <c r="J2260" s="91">
        <v>24.46322</v>
      </c>
      <c r="K2260" s="425">
        <v>2085.2321299999999</v>
      </c>
      <c r="L2260" s="542" t="s">
        <v>622</v>
      </c>
    </row>
    <row r="2261" spans="1:12" ht="15">
      <c r="A2261">
        <v>191633</v>
      </c>
      <c r="B2261" t="e">
        <f t="shared" si="96"/>
        <v>#N/A</v>
      </c>
      <c r="C2261" s="209" t="e">
        <f t="shared" si="97"/>
        <v>#N/A</v>
      </c>
      <c r="D2261" t="s">
        <v>6001</v>
      </c>
      <c r="E2261" t="e">
        <v>#N/A</v>
      </c>
      <c r="F2261" t="e">
        <v>#N/A</v>
      </c>
      <c r="G2261" t="e">
        <v>#N/A</v>
      </c>
      <c r="H2261" s="214">
        <v>159.25</v>
      </c>
      <c r="I2261" s="425" t="e">
        <v>#N/A</v>
      </c>
      <c r="J2261" s="91">
        <v>35.905679999999997</v>
      </c>
      <c r="K2261" s="425">
        <v>3060.5826299999999</v>
      </c>
      <c r="L2261" s="542" t="s">
        <v>622</v>
      </c>
    </row>
    <row r="2262" spans="1:12" ht="15">
      <c r="A2262">
        <v>191634</v>
      </c>
      <c r="B2262" t="e">
        <f t="shared" si="96"/>
        <v>#N/A</v>
      </c>
      <c r="C2262" s="209" t="e">
        <f t="shared" si="97"/>
        <v>#N/A</v>
      </c>
      <c r="D2262" t="s">
        <v>6002</v>
      </c>
      <c r="E2262" t="e">
        <v>#N/A</v>
      </c>
      <c r="F2262" t="e">
        <v>#N/A</v>
      </c>
      <c r="G2262" t="e">
        <v>#N/A</v>
      </c>
      <c r="H2262" s="214">
        <v>241.5</v>
      </c>
      <c r="I2262" s="425" t="e">
        <v>#N/A</v>
      </c>
      <c r="J2262" s="91">
        <v>54.450380000000003</v>
      </c>
      <c r="K2262" s="425">
        <v>4641.3231299999998</v>
      </c>
      <c r="L2262" s="542" t="s">
        <v>622</v>
      </c>
    </row>
    <row r="2263" spans="1:12" ht="15">
      <c r="A2263">
        <v>191637</v>
      </c>
      <c r="B2263" t="e">
        <f t="shared" si="96"/>
        <v>#N/A</v>
      </c>
      <c r="C2263" s="209" t="e">
        <f t="shared" si="97"/>
        <v>#N/A</v>
      </c>
      <c r="D2263" t="s">
        <v>6003</v>
      </c>
      <c r="E2263" t="e">
        <v>#N/A</v>
      </c>
      <c r="F2263" t="e">
        <v>#N/A</v>
      </c>
      <c r="G2263" t="e">
        <v>#N/A</v>
      </c>
      <c r="H2263" s="214">
        <v>8538.5499999999993</v>
      </c>
      <c r="I2263" s="425" t="e">
        <v>#N/A</v>
      </c>
      <c r="J2263" s="91">
        <v>807.75577999999996</v>
      </c>
      <c r="K2263" s="425">
        <v>74678.176789999998</v>
      </c>
      <c r="L2263" s="542" t="s">
        <v>622</v>
      </c>
    </row>
    <row r="2264" spans="1:12" ht="15">
      <c r="A2264">
        <v>192609</v>
      </c>
      <c r="B2264" t="e">
        <f t="shared" si="96"/>
        <v>#N/A</v>
      </c>
      <c r="C2264" s="209" t="e">
        <f t="shared" si="97"/>
        <v>#N/A</v>
      </c>
      <c r="D2264" t="s">
        <v>6004</v>
      </c>
      <c r="E2264" t="e">
        <v>#N/A</v>
      </c>
      <c r="F2264" t="e">
        <v>#N/A</v>
      </c>
      <c r="G2264" t="e">
        <v>#N/A</v>
      </c>
      <c r="H2264" s="214">
        <v>416.59379999999999</v>
      </c>
      <c r="I2264" s="425" t="e">
        <v>#N/A</v>
      </c>
      <c r="J2264" s="91">
        <v>77.803610000000006</v>
      </c>
      <c r="K2264" s="425">
        <v>6083.9807099999998</v>
      </c>
      <c r="L2264" s="542" t="s">
        <v>622</v>
      </c>
    </row>
    <row r="2265" spans="1:12" ht="15">
      <c r="A2265">
        <v>192611</v>
      </c>
      <c r="B2265" t="e">
        <f t="shared" si="96"/>
        <v>#N/A</v>
      </c>
      <c r="C2265" s="209" t="e">
        <f t="shared" si="97"/>
        <v>#N/A</v>
      </c>
      <c r="D2265" t="s">
        <v>6005</v>
      </c>
      <c r="E2265" t="e">
        <v>#N/A</v>
      </c>
      <c r="F2265" t="e">
        <v>#N/A</v>
      </c>
      <c r="G2265" t="e">
        <v>#N/A</v>
      </c>
      <c r="H2265" s="214">
        <v>93.025800000000004</v>
      </c>
      <c r="I2265" s="425" t="e">
        <v>#N/A</v>
      </c>
      <c r="J2265" s="91">
        <v>17.373619999999999</v>
      </c>
      <c r="K2265" s="425">
        <v>1358.5588</v>
      </c>
      <c r="L2265" s="542" t="s">
        <v>622</v>
      </c>
    </row>
    <row r="2266" spans="1:12" ht="15">
      <c r="A2266">
        <v>466290</v>
      </c>
      <c r="B2266" t="e">
        <f t="shared" si="96"/>
        <v>#N/A</v>
      </c>
      <c r="C2266" s="209" t="e">
        <f t="shared" si="97"/>
        <v>#N/A</v>
      </c>
      <c r="D2266" t="s">
        <v>6006</v>
      </c>
      <c r="E2266" t="e">
        <v>#N/A</v>
      </c>
      <c r="F2266" t="e">
        <v>#N/A</v>
      </c>
      <c r="G2266" t="e">
        <v>#N/A</v>
      </c>
      <c r="H2266" s="214">
        <v>0</v>
      </c>
      <c r="I2266" s="425" t="e">
        <v>#N/A</v>
      </c>
      <c r="J2266" s="91">
        <v>0</v>
      </c>
      <c r="K2266" s="425">
        <v>0</v>
      </c>
      <c r="L2266" s="542" t="s">
        <v>622</v>
      </c>
    </row>
    <row r="2267" spans="1:12" ht="15">
      <c r="A2267">
        <v>466291</v>
      </c>
      <c r="B2267" t="e">
        <f t="shared" si="96"/>
        <v>#N/A</v>
      </c>
      <c r="C2267" s="209" t="e">
        <f t="shared" si="97"/>
        <v>#N/A</v>
      </c>
      <c r="D2267" t="s">
        <v>6007</v>
      </c>
      <c r="E2267" t="e">
        <v>#N/A</v>
      </c>
      <c r="F2267" t="e">
        <v>#N/A</v>
      </c>
      <c r="G2267" t="e">
        <v>#N/A</v>
      </c>
      <c r="H2267" s="214">
        <v>0</v>
      </c>
      <c r="I2267" s="425" t="e">
        <v>#N/A</v>
      </c>
      <c r="J2267" s="91">
        <v>0</v>
      </c>
      <c r="K2267" s="425">
        <v>0</v>
      </c>
      <c r="L2267" s="542" t="s">
        <v>622</v>
      </c>
    </row>
    <row r="2268" spans="1:12" ht="15">
      <c r="A2268">
        <v>466292</v>
      </c>
      <c r="B2268" t="e">
        <f t="shared" si="96"/>
        <v>#N/A</v>
      </c>
      <c r="C2268" s="209" t="e">
        <f t="shared" si="97"/>
        <v>#N/A</v>
      </c>
      <c r="D2268" t="s">
        <v>6008</v>
      </c>
      <c r="E2268" t="e">
        <v>#N/A</v>
      </c>
      <c r="F2268" t="e">
        <v>#N/A</v>
      </c>
      <c r="G2268" t="e">
        <v>#N/A</v>
      </c>
      <c r="H2268" s="214">
        <v>0</v>
      </c>
      <c r="I2268" s="425" t="e">
        <v>#N/A</v>
      </c>
      <c r="J2268" s="91">
        <v>0</v>
      </c>
      <c r="K2268" s="425">
        <v>0</v>
      </c>
      <c r="L2268" s="542" t="s">
        <v>622</v>
      </c>
    </row>
    <row r="2269" spans="1:12" ht="15">
      <c r="A2269">
        <v>467244</v>
      </c>
      <c r="B2269" t="str">
        <f t="shared" si="96"/>
        <v>SEVROLL Alfa II lišta 18mm 100m oliva new</v>
      </c>
      <c r="C2269" s="209">
        <f t="shared" si="97"/>
        <v>0.23924000000000001</v>
      </c>
      <c r="D2269" t="s">
        <v>6009</v>
      </c>
      <c r="E2269" t="s">
        <v>6838</v>
      </c>
      <c r="F2269" t="s">
        <v>7337</v>
      </c>
      <c r="G2269" t="s">
        <v>7956</v>
      </c>
      <c r="H2269" s="214">
        <v>8.4650499999999997</v>
      </c>
      <c r="I2269" s="425">
        <v>0.23924000000000001</v>
      </c>
      <c r="J2269" s="91">
        <v>0.99875999999999998</v>
      </c>
      <c r="K2269" s="425">
        <v>91.269949999999994</v>
      </c>
      <c r="L2269" s="542" t="s">
        <v>624</v>
      </c>
    </row>
    <row r="2270" spans="1:12" ht="15">
      <c r="A2270">
        <v>467250</v>
      </c>
      <c r="B2270" t="e">
        <f t="shared" si="96"/>
        <v>#N/A</v>
      </c>
      <c r="C2270" s="209" t="e">
        <f t="shared" si="97"/>
        <v>#N/A</v>
      </c>
      <c r="D2270" t="s">
        <v>6010</v>
      </c>
      <c r="E2270" t="e">
        <v>#N/A</v>
      </c>
      <c r="F2270" t="e">
        <v>#N/A</v>
      </c>
      <c r="G2270" t="e">
        <v>#N/A</v>
      </c>
      <c r="H2270" s="214">
        <v>873.06348000000003</v>
      </c>
      <c r="I2270" s="425" t="e">
        <v>#N/A</v>
      </c>
      <c r="J2270" s="91">
        <v>179.42679999999999</v>
      </c>
      <c r="K2270" s="425">
        <v>14469.343140000001</v>
      </c>
      <c r="L2270" s="542" t="s">
        <v>623</v>
      </c>
    </row>
    <row r="2271" spans="1:12" ht="15">
      <c r="A2271" t="s">
        <v>4729</v>
      </c>
      <c r="B2271" t="e">
        <f t="shared" si="96"/>
        <v>#N/A</v>
      </c>
      <c r="C2271" s="209" t="e">
        <f t="shared" si="97"/>
        <v>#N/A</v>
      </c>
      <c r="D2271" t="s">
        <v>6011</v>
      </c>
      <c r="E2271" t="e">
        <v>#N/A</v>
      </c>
      <c r="F2271" t="e">
        <v>#N/A</v>
      </c>
      <c r="G2271" t="e">
        <v>#N/A</v>
      </c>
      <c r="H2271" s="214">
        <v>248.024</v>
      </c>
      <c r="I2271" s="425" t="e">
        <v>#N/A</v>
      </c>
      <c r="J2271" s="91">
        <v>29.417359999999999</v>
      </c>
      <c r="K2271" s="425">
        <v>2783.41851</v>
      </c>
      <c r="L2271" s="542" t="s">
        <v>622</v>
      </c>
    </row>
    <row r="2272" spans="1:12" ht="15">
      <c r="A2272" t="s">
        <v>4730</v>
      </c>
      <c r="B2272" t="e">
        <f t="shared" si="96"/>
        <v>#N/A</v>
      </c>
      <c r="C2272" s="209" t="e">
        <f t="shared" si="97"/>
        <v>#N/A</v>
      </c>
      <c r="D2272" t="s">
        <v>6012</v>
      </c>
      <c r="E2272" t="e">
        <v>#N/A</v>
      </c>
      <c r="F2272" t="e">
        <v>#N/A</v>
      </c>
      <c r="G2272" t="e">
        <v>#N/A</v>
      </c>
      <c r="H2272" s="214">
        <v>117.42098</v>
      </c>
      <c r="I2272" s="425" t="e">
        <v>#N/A</v>
      </c>
      <c r="J2272" s="91">
        <v>23.920200000000001</v>
      </c>
      <c r="K2272" s="425">
        <v>1870.4795099999999</v>
      </c>
      <c r="L2272" s="542" t="s">
        <v>620</v>
      </c>
    </row>
    <row r="2273" spans="1:12" ht="15">
      <c r="A2273" t="s">
        <v>4731</v>
      </c>
      <c r="B2273" t="e">
        <f t="shared" si="96"/>
        <v>#N/A</v>
      </c>
      <c r="C2273" s="209" t="e">
        <f t="shared" si="97"/>
        <v>#N/A</v>
      </c>
      <c r="D2273" t="s">
        <v>5191</v>
      </c>
      <c r="E2273" t="e">
        <v>#N/A</v>
      </c>
      <c r="F2273" t="e">
        <v>#N/A</v>
      </c>
      <c r="G2273" t="e">
        <v>#N/A</v>
      </c>
      <c r="H2273" s="214">
        <v>140.90517</v>
      </c>
      <c r="I2273" s="425" t="e">
        <v>#N/A</v>
      </c>
      <c r="J2273" s="91">
        <v>28.704239999999999</v>
      </c>
      <c r="K2273" s="425">
        <v>2244.5754000000002</v>
      </c>
      <c r="L2273" s="542" t="s">
        <v>622</v>
      </c>
    </row>
    <row r="2274" spans="1:12" ht="15">
      <c r="A2274" t="s">
        <v>4732</v>
      </c>
      <c r="B2274" t="e">
        <f t="shared" si="96"/>
        <v>#N/A</v>
      </c>
      <c r="C2274" s="209" t="e">
        <f t="shared" si="97"/>
        <v>#N/A</v>
      </c>
      <c r="D2274" t="s">
        <v>6013</v>
      </c>
      <c r="E2274" t="e">
        <v>#N/A</v>
      </c>
      <c r="F2274" t="e">
        <v>#N/A</v>
      </c>
      <c r="G2274" t="e">
        <v>#N/A</v>
      </c>
      <c r="H2274" s="214">
        <v>919.95749999999998</v>
      </c>
      <c r="I2274" s="425" t="e">
        <v>#N/A</v>
      </c>
      <c r="J2274" s="91">
        <v>205.75608</v>
      </c>
      <c r="K2274" s="425">
        <v>0</v>
      </c>
      <c r="L2274" s="542" t="s">
        <v>620</v>
      </c>
    </row>
    <row r="2275" spans="1:12" ht="15">
      <c r="A2275">
        <v>236320</v>
      </c>
      <c r="B2275" t="e">
        <f t="shared" si="96"/>
        <v>#N/A</v>
      </c>
      <c r="C2275" s="209" t="e">
        <f t="shared" si="97"/>
        <v>#N/A</v>
      </c>
      <c r="D2275" t="s">
        <v>6014</v>
      </c>
      <c r="E2275" t="e">
        <v>#N/A</v>
      </c>
      <c r="F2275" t="e">
        <v>#N/A</v>
      </c>
      <c r="G2275" t="e">
        <v>#N/A</v>
      </c>
      <c r="H2275" s="214">
        <v>16.66375</v>
      </c>
      <c r="I2275" s="425" t="e">
        <v>#N/A</v>
      </c>
      <c r="J2275" s="91">
        <v>3.1121500000000002</v>
      </c>
      <c r="K2275" s="425">
        <v>250.95580000000001</v>
      </c>
      <c r="L2275" s="542" t="s">
        <v>622</v>
      </c>
    </row>
    <row r="2276" spans="1:12" ht="15">
      <c r="A2276">
        <v>236355</v>
      </c>
      <c r="B2276" t="e">
        <f t="shared" si="96"/>
        <v>#N/A</v>
      </c>
      <c r="C2276" s="209" t="e">
        <f t="shared" si="97"/>
        <v>#N/A</v>
      </c>
      <c r="D2276" t="s">
        <v>6015</v>
      </c>
      <c r="E2276" t="e">
        <v>#N/A</v>
      </c>
      <c r="F2276" t="e">
        <v>#N/A</v>
      </c>
      <c r="G2276" t="e">
        <v>#N/A</v>
      </c>
      <c r="H2276" s="214">
        <v>486.02609999999999</v>
      </c>
      <c r="I2276" s="425" t="e">
        <v>#N/A</v>
      </c>
      <c r="J2276" s="91">
        <v>90.770870000000002</v>
      </c>
      <c r="K2276" s="425">
        <v>7319.5442000000003</v>
      </c>
      <c r="L2276" s="542" t="s">
        <v>622</v>
      </c>
    </row>
    <row r="2277" spans="1:12" ht="15">
      <c r="A2277">
        <v>236753</v>
      </c>
      <c r="B2277" t="str">
        <f t="shared" si="96"/>
        <v>Sevroll Gemini horné vedenie 2,35m RAL8017 l</v>
      </c>
      <c r="C2277" s="209" t="e">
        <f t="shared" si="97"/>
        <v>#N/A</v>
      </c>
      <c r="D2277" t="s">
        <v>6016</v>
      </c>
      <c r="E2277" t="s">
        <v>6839</v>
      </c>
      <c r="F2277" t="s">
        <v>7338</v>
      </c>
      <c r="G2277" t="s">
        <v>7957</v>
      </c>
      <c r="H2277" s="214">
        <v>12405.285889999999</v>
      </c>
      <c r="I2277" s="425" t="e">
        <v>#N/A</v>
      </c>
      <c r="J2277" s="91">
        <v>1574.3349499999999</v>
      </c>
      <c r="K2277" s="425">
        <v>140555.40166999999</v>
      </c>
      <c r="L2277" s="542" t="s">
        <v>622</v>
      </c>
    </row>
    <row r="2278" spans="1:12" ht="15">
      <c r="A2278">
        <v>236764</v>
      </c>
      <c r="B2278" t="str">
        <f t="shared" si="96"/>
        <v>SEVROLL Victoria II 18mm 2,7m RAL8017 lesk</v>
      </c>
      <c r="C2278" s="209" t="e">
        <f t="shared" si="97"/>
        <v>#N/A</v>
      </c>
      <c r="D2278" t="s">
        <v>6017</v>
      </c>
      <c r="E2278" t="s">
        <v>6840</v>
      </c>
      <c r="F2278" t="s">
        <v>6017</v>
      </c>
      <c r="G2278" t="s">
        <v>7958</v>
      </c>
      <c r="H2278" s="214">
        <v>0</v>
      </c>
      <c r="I2278" s="425" t="e">
        <v>#N/A</v>
      </c>
      <c r="J2278" s="91">
        <v>0</v>
      </c>
      <c r="K2278" s="425">
        <v>0</v>
      </c>
      <c r="L2278" s="542" t="s">
        <v>622</v>
      </c>
    </row>
    <row r="2279" spans="1:12" ht="15">
      <c r="A2279">
        <v>236765</v>
      </c>
      <c r="B2279" t="str">
        <f t="shared" ref="B2279:B2332" si="98">IF($A$2=1,D2279,IF($A$2=2,F2279,IF($A$2=3,G2279,IF($A$2=4,E2279,"zadat jazyk"))))</f>
        <v>Sevroll spojovacia lišta H18 3m RAL8017 lesk</v>
      </c>
      <c r="C2279" s="209" t="e">
        <f t="shared" ref="C2279:C2332" si="99">IF($A$2=1,H2279,IF($A$2=2,I2279,IF($A$2=3,J2279,IF($A$2=4,K2279,"zadat jazyk"))))</f>
        <v>#N/A</v>
      </c>
      <c r="D2279" t="s">
        <v>6018</v>
      </c>
      <c r="E2279" t="s">
        <v>6841</v>
      </c>
      <c r="F2279" t="s">
        <v>7339</v>
      </c>
      <c r="G2279" t="s">
        <v>7959</v>
      </c>
      <c r="H2279" s="214">
        <v>0</v>
      </c>
      <c r="I2279" s="425" t="e">
        <v>#N/A</v>
      </c>
      <c r="J2279" s="91">
        <v>0</v>
      </c>
      <c r="K2279" s="425">
        <v>0</v>
      </c>
      <c r="L2279" s="542" t="s">
        <v>622</v>
      </c>
    </row>
    <row r="2280" spans="1:12" ht="15">
      <c r="A2280">
        <v>236766</v>
      </c>
      <c r="B2280" t="str">
        <f t="shared" si="98"/>
        <v>Sevroll Gemini horné vedenie 3m RAL9016 lesk</v>
      </c>
      <c r="C2280" s="209" t="e">
        <f t="shared" si="99"/>
        <v>#N/A</v>
      </c>
      <c r="D2280" t="s">
        <v>6019</v>
      </c>
      <c r="E2280" t="s">
        <v>6842</v>
      </c>
      <c r="F2280" t="s">
        <v>7340</v>
      </c>
      <c r="G2280" t="s">
        <v>7960</v>
      </c>
      <c r="H2280" s="214">
        <v>0</v>
      </c>
      <c r="I2280" s="425" t="e">
        <v>#N/A</v>
      </c>
      <c r="J2280" s="91">
        <v>0</v>
      </c>
      <c r="K2280" s="425">
        <v>0</v>
      </c>
      <c r="L2280" s="542" t="s">
        <v>622</v>
      </c>
    </row>
    <row r="2281" spans="1:12" ht="15">
      <c r="A2281">
        <v>236771</v>
      </c>
      <c r="B2281" t="str">
        <f t="shared" si="98"/>
        <v>SEVROLL Alfa II lišta 18mm 2,70m RAL9016 les</v>
      </c>
      <c r="C2281" s="209" t="e">
        <f t="shared" si="99"/>
        <v>#N/A</v>
      </c>
      <c r="D2281" t="s">
        <v>6020</v>
      </c>
      <c r="E2281" t="s">
        <v>6843</v>
      </c>
      <c r="F2281" t="s">
        <v>7341</v>
      </c>
      <c r="G2281" t="s">
        <v>7961</v>
      </c>
      <c r="H2281" s="214">
        <v>0</v>
      </c>
      <c r="I2281" s="425" t="e">
        <v>#N/A</v>
      </c>
      <c r="J2281" s="91">
        <v>0</v>
      </c>
      <c r="K2281" s="425">
        <v>0</v>
      </c>
      <c r="L2281" s="542" t="s">
        <v>622</v>
      </c>
    </row>
    <row r="2282" spans="1:12" ht="15">
      <c r="A2282">
        <v>236772</v>
      </c>
      <c r="B2282" t="str">
        <f t="shared" si="98"/>
        <v>Sevroll spojovacia lišta H18 3m RAL9016 lesk</v>
      </c>
      <c r="C2282" s="209" t="e">
        <f t="shared" si="99"/>
        <v>#N/A</v>
      </c>
      <c r="D2282" t="s">
        <v>6021</v>
      </c>
      <c r="E2282" t="s">
        <v>6844</v>
      </c>
      <c r="F2282" t="s">
        <v>7342</v>
      </c>
      <c r="G2282" t="s">
        <v>7962</v>
      </c>
      <c r="H2282" s="214">
        <v>0</v>
      </c>
      <c r="I2282" s="425" t="e">
        <v>#N/A</v>
      </c>
      <c r="J2282" s="91">
        <v>0</v>
      </c>
      <c r="K2282" s="425">
        <v>0</v>
      </c>
      <c r="L2282" s="542" t="s">
        <v>622</v>
      </c>
    </row>
    <row r="2283" spans="1:12" ht="15">
      <c r="A2283">
        <v>237690</v>
      </c>
      <c r="B2283" t="str">
        <f t="shared" si="98"/>
        <v>SEVROLL Gemini horné vedenie 4,05m RAL7015 m</v>
      </c>
      <c r="C2283" s="209" t="e">
        <f t="shared" si="99"/>
        <v>#N/A</v>
      </c>
      <c r="D2283" t="s">
        <v>6022</v>
      </c>
      <c r="E2283" t="s">
        <v>6845</v>
      </c>
      <c r="F2283" t="s">
        <v>7343</v>
      </c>
      <c r="G2283" t="s">
        <v>7963</v>
      </c>
      <c r="H2283" s="214">
        <v>0</v>
      </c>
      <c r="I2283" s="425" t="e">
        <v>#N/A</v>
      </c>
      <c r="J2283" s="91">
        <v>0</v>
      </c>
      <c r="K2283" s="425">
        <v>0</v>
      </c>
      <c r="L2283" s="542" t="s">
        <v>622</v>
      </c>
    </row>
    <row r="2284" spans="1:12" ht="15">
      <c r="A2284">
        <v>465329</v>
      </c>
      <c r="B2284" t="e">
        <f t="shared" si="98"/>
        <v>#N/A</v>
      </c>
      <c r="C2284" s="209" t="e">
        <f t="shared" si="99"/>
        <v>#N/A</v>
      </c>
      <c r="D2284" t="s">
        <v>6023</v>
      </c>
      <c r="E2284" t="e">
        <v>#N/A</v>
      </c>
      <c r="F2284" t="e">
        <v>#N/A</v>
      </c>
      <c r="G2284" t="e">
        <v>#N/A</v>
      </c>
      <c r="H2284" s="214">
        <v>0</v>
      </c>
      <c r="I2284" s="425" t="e">
        <v>#N/A</v>
      </c>
      <c r="J2284" s="91">
        <v>0</v>
      </c>
      <c r="K2284" s="425">
        <v>0</v>
      </c>
      <c r="L2284" s="542" t="s">
        <v>622</v>
      </c>
    </row>
    <row r="2285" spans="1:12" ht="15">
      <c r="A2285">
        <v>465330</v>
      </c>
      <c r="B2285" t="e">
        <f t="shared" si="98"/>
        <v>#N/A</v>
      </c>
      <c r="C2285" s="209" t="e">
        <f t="shared" si="99"/>
        <v>#N/A</v>
      </c>
      <c r="D2285" t="s">
        <v>6024</v>
      </c>
      <c r="E2285" t="e">
        <v>#N/A</v>
      </c>
      <c r="F2285" t="e">
        <v>#N/A</v>
      </c>
      <c r="G2285" t="e">
        <v>#N/A</v>
      </c>
      <c r="H2285" s="214">
        <v>0</v>
      </c>
      <c r="I2285" s="425" t="e">
        <v>#N/A</v>
      </c>
      <c r="J2285" s="91">
        <v>0</v>
      </c>
      <c r="K2285" s="425">
        <v>0</v>
      </c>
      <c r="L2285" s="542" t="s">
        <v>622</v>
      </c>
    </row>
    <row r="2286" spans="1:12" ht="15">
      <c r="A2286">
        <v>465331</v>
      </c>
      <c r="B2286" t="e">
        <f t="shared" si="98"/>
        <v>#N/A</v>
      </c>
      <c r="C2286" s="209" t="e">
        <f t="shared" si="99"/>
        <v>#N/A</v>
      </c>
      <c r="D2286" t="s">
        <v>6025</v>
      </c>
      <c r="E2286" t="e">
        <v>#N/A</v>
      </c>
      <c r="F2286" t="e">
        <v>#N/A</v>
      </c>
      <c r="G2286" t="e">
        <v>#N/A</v>
      </c>
      <c r="H2286" s="214">
        <v>0</v>
      </c>
      <c r="I2286" s="425" t="e">
        <v>#N/A</v>
      </c>
      <c r="J2286" s="91">
        <v>0</v>
      </c>
      <c r="K2286" s="425">
        <v>0</v>
      </c>
      <c r="L2286" s="542" t="s">
        <v>622</v>
      </c>
    </row>
    <row r="2287" spans="1:12" ht="15">
      <c r="A2287">
        <v>465332</v>
      </c>
      <c r="B2287" t="e">
        <f t="shared" si="98"/>
        <v>#N/A</v>
      </c>
      <c r="C2287" s="209" t="e">
        <f t="shared" si="99"/>
        <v>#N/A</v>
      </c>
      <c r="D2287" t="s">
        <v>6026</v>
      </c>
      <c r="E2287" t="e">
        <v>#N/A</v>
      </c>
      <c r="F2287" t="e">
        <v>#N/A</v>
      </c>
      <c r="G2287" t="e">
        <v>#N/A</v>
      </c>
      <c r="H2287" s="214">
        <v>0</v>
      </c>
      <c r="I2287" s="425" t="e">
        <v>#N/A</v>
      </c>
      <c r="J2287" s="91">
        <v>0</v>
      </c>
      <c r="K2287" s="425">
        <v>0</v>
      </c>
      <c r="L2287" s="542" t="s">
        <v>622</v>
      </c>
    </row>
    <row r="2288" spans="1:12" ht="15">
      <c r="A2288">
        <v>465333</v>
      </c>
      <c r="B2288" t="e">
        <f t="shared" si="98"/>
        <v>#N/A</v>
      </c>
      <c r="C2288" s="209" t="e">
        <f t="shared" si="99"/>
        <v>#N/A</v>
      </c>
      <c r="D2288" t="s">
        <v>6027</v>
      </c>
      <c r="E2288" t="e">
        <v>#N/A</v>
      </c>
      <c r="F2288" t="e">
        <v>#N/A</v>
      </c>
      <c r="G2288" t="e">
        <v>#N/A</v>
      </c>
      <c r="H2288" s="214">
        <v>0</v>
      </c>
      <c r="I2288" s="425" t="e">
        <v>#N/A</v>
      </c>
      <c r="J2288" s="91">
        <v>0</v>
      </c>
      <c r="K2288" s="425">
        <v>0</v>
      </c>
      <c r="L2288" s="542" t="s">
        <v>622</v>
      </c>
    </row>
    <row r="2289" spans="1:12" ht="15">
      <c r="A2289">
        <v>465334</v>
      </c>
      <c r="B2289" t="e">
        <f t="shared" si="98"/>
        <v>#N/A</v>
      </c>
      <c r="C2289" s="209" t="e">
        <f t="shared" si="99"/>
        <v>#N/A</v>
      </c>
      <c r="D2289" t="s">
        <v>6028</v>
      </c>
      <c r="E2289" t="e">
        <v>#N/A</v>
      </c>
      <c r="F2289" t="e">
        <v>#N/A</v>
      </c>
      <c r="G2289" t="e">
        <v>#N/A</v>
      </c>
      <c r="H2289" s="214">
        <v>0</v>
      </c>
      <c r="I2289" s="425" t="e">
        <v>#N/A</v>
      </c>
      <c r="J2289" s="91">
        <v>0</v>
      </c>
      <c r="K2289" s="425">
        <v>0</v>
      </c>
      <c r="L2289" s="542" t="s">
        <v>622</v>
      </c>
    </row>
    <row r="2290" spans="1:12" ht="15">
      <c r="A2290">
        <v>465335</v>
      </c>
      <c r="B2290" t="e">
        <f t="shared" si="98"/>
        <v>#N/A</v>
      </c>
      <c r="C2290" s="209" t="e">
        <f t="shared" si="99"/>
        <v>#N/A</v>
      </c>
      <c r="D2290" t="s">
        <v>6029</v>
      </c>
      <c r="E2290" t="e">
        <v>#N/A</v>
      </c>
      <c r="F2290" t="e">
        <v>#N/A</v>
      </c>
      <c r="G2290" t="e">
        <v>#N/A</v>
      </c>
      <c r="H2290" s="214">
        <v>0</v>
      </c>
      <c r="I2290" s="425" t="e">
        <v>#N/A</v>
      </c>
      <c r="J2290" s="91">
        <v>0</v>
      </c>
      <c r="K2290" s="425">
        <v>0</v>
      </c>
      <c r="L2290" s="542" t="s">
        <v>622</v>
      </c>
    </row>
    <row r="2291" spans="1:12" ht="15">
      <c r="A2291">
        <v>465336</v>
      </c>
      <c r="B2291" t="e">
        <f t="shared" si="98"/>
        <v>#N/A</v>
      </c>
      <c r="C2291" s="209" t="e">
        <f t="shared" si="99"/>
        <v>#N/A</v>
      </c>
      <c r="D2291" t="s">
        <v>6030</v>
      </c>
      <c r="E2291" t="e">
        <v>#N/A</v>
      </c>
      <c r="F2291" t="e">
        <v>#N/A</v>
      </c>
      <c r="G2291" t="e">
        <v>#N/A</v>
      </c>
      <c r="H2291" s="214">
        <v>0</v>
      </c>
      <c r="I2291" s="425" t="e">
        <v>#N/A</v>
      </c>
      <c r="J2291" s="91">
        <v>0</v>
      </c>
      <c r="K2291" s="425">
        <v>0</v>
      </c>
      <c r="L2291" s="542" t="s">
        <v>622</v>
      </c>
    </row>
    <row r="2292" spans="1:12" ht="15">
      <c r="A2292">
        <v>465337</v>
      </c>
      <c r="B2292" t="e">
        <f t="shared" si="98"/>
        <v>#N/A</v>
      </c>
      <c r="C2292" s="209" t="e">
        <f t="shared" si="99"/>
        <v>#N/A</v>
      </c>
      <c r="D2292" t="s">
        <v>6031</v>
      </c>
      <c r="E2292" t="e">
        <v>#N/A</v>
      </c>
      <c r="F2292" t="e">
        <v>#N/A</v>
      </c>
      <c r="G2292" t="e">
        <v>#N/A</v>
      </c>
      <c r="H2292" s="214">
        <v>0</v>
      </c>
      <c r="I2292" s="425" t="e">
        <v>#N/A</v>
      </c>
      <c r="J2292" s="91">
        <v>0</v>
      </c>
      <c r="K2292" s="425">
        <v>0</v>
      </c>
      <c r="L2292" s="542" t="s">
        <v>622</v>
      </c>
    </row>
    <row r="2293" spans="1:12" ht="15">
      <c r="A2293">
        <v>465338</v>
      </c>
      <c r="B2293" t="e">
        <f t="shared" si="98"/>
        <v>#N/A</v>
      </c>
      <c r="C2293" s="209" t="e">
        <f t="shared" si="99"/>
        <v>#N/A</v>
      </c>
      <c r="D2293" t="s">
        <v>6032</v>
      </c>
      <c r="E2293" t="e">
        <v>#N/A</v>
      </c>
      <c r="F2293" t="e">
        <v>#N/A</v>
      </c>
      <c r="G2293" t="e">
        <v>#N/A</v>
      </c>
      <c r="H2293" s="214">
        <v>0</v>
      </c>
      <c r="I2293" s="425" t="e">
        <v>#N/A</v>
      </c>
      <c r="J2293" s="91">
        <v>0</v>
      </c>
      <c r="K2293" s="425">
        <v>0</v>
      </c>
      <c r="L2293" s="542" t="s">
        <v>622</v>
      </c>
    </row>
    <row r="2294" spans="1:12" ht="15">
      <c r="A2294">
        <v>465339</v>
      </c>
      <c r="B2294" t="e">
        <f t="shared" si="98"/>
        <v>#N/A</v>
      </c>
      <c r="C2294" s="209" t="e">
        <f t="shared" si="99"/>
        <v>#N/A</v>
      </c>
      <c r="D2294" t="s">
        <v>6033</v>
      </c>
      <c r="E2294" t="e">
        <v>#N/A</v>
      </c>
      <c r="F2294" t="e">
        <v>#N/A</v>
      </c>
      <c r="G2294" t="e">
        <v>#N/A</v>
      </c>
      <c r="H2294" s="214">
        <v>0</v>
      </c>
      <c r="I2294" s="425" t="e">
        <v>#N/A</v>
      </c>
      <c r="J2294" s="91">
        <v>0</v>
      </c>
      <c r="K2294" s="425">
        <v>0</v>
      </c>
      <c r="L2294" s="542" t="s">
        <v>622</v>
      </c>
    </row>
    <row r="2295" spans="1:12" ht="15">
      <c r="A2295">
        <v>465340</v>
      </c>
      <c r="B2295" t="e">
        <f t="shared" si="98"/>
        <v>#N/A</v>
      </c>
      <c r="C2295" s="209" t="e">
        <f t="shared" si="99"/>
        <v>#N/A</v>
      </c>
      <c r="D2295" t="s">
        <v>6034</v>
      </c>
      <c r="E2295" t="e">
        <v>#N/A</v>
      </c>
      <c r="F2295" t="e">
        <v>#N/A</v>
      </c>
      <c r="G2295" t="e">
        <v>#N/A</v>
      </c>
      <c r="H2295" s="214">
        <v>0</v>
      </c>
      <c r="I2295" s="425" t="e">
        <v>#N/A</v>
      </c>
      <c r="J2295" s="91">
        <v>0</v>
      </c>
      <c r="K2295" s="425">
        <v>0</v>
      </c>
      <c r="L2295" s="542" t="s">
        <v>622</v>
      </c>
    </row>
    <row r="2296" spans="1:12" ht="15">
      <c r="A2296">
        <v>465341</v>
      </c>
      <c r="B2296" t="e">
        <f t="shared" si="98"/>
        <v>#N/A</v>
      </c>
      <c r="C2296" s="209" t="e">
        <f t="shared" si="99"/>
        <v>#N/A</v>
      </c>
      <c r="D2296" t="s">
        <v>6035</v>
      </c>
      <c r="E2296" t="e">
        <v>#N/A</v>
      </c>
      <c r="F2296" t="e">
        <v>#N/A</v>
      </c>
      <c r="G2296" t="e">
        <v>#N/A</v>
      </c>
      <c r="H2296" s="214">
        <v>0</v>
      </c>
      <c r="I2296" s="425" t="e">
        <v>#N/A</v>
      </c>
      <c r="J2296" s="91">
        <v>0</v>
      </c>
      <c r="K2296" s="425">
        <v>0</v>
      </c>
      <c r="L2296" s="542" t="s">
        <v>622</v>
      </c>
    </row>
    <row r="2297" spans="1:12" ht="15">
      <c r="A2297">
        <v>465342</v>
      </c>
      <c r="B2297" t="e">
        <f t="shared" si="98"/>
        <v>#N/A</v>
      </c>
      <c r="C2297" s="209" t="e">
        <f t="shared" si="99"/>
        <v>#N/A</v>
      </c>
      <c r="D2297" t="s">
        <v>6036</v>
      </c>
      <c r="E2297" t="e">
        <v>#N/A</v>
      </c>
      <c r="F2297" t="e">
        <v>#N/A</v>
      </c>
      <c r="G2297" t="e">
        <v>#N/A</v>
      </c>
      <c r="H2297" s="214">
        <v>0</v>
      </c>
      <c r="I2297" s="425" t="e">
        <v>#N/A</v>
      </c>
      <c r="J2297" s="91">
        <v>0</v>
      </c>
      <c r="K2297" s="425">
        <v>0</v>
      </c>
      <c r="L2297" s="542" t="s">
        <v>622</v>
      </c>
    </row>
    <row r="2298" spans="1:12" ht="15">
      <c r="A2298">
        <v>465343</v>
      </c>
      <c r="B2298" t="e">
        <f t="shared" si="98"/>
        <v>#N/A</v>
      </c>
      <c r="C2298" s="209" t="e">
        <f t="shared" si="99"/>
        <v>#N/A</v>
      </c>
      <c r="D2298" t="s">
        <v>6037</v>
      </c>
      <c r="E2298" t="e">
        <v>#N/A</v>
      </c>
      <c r="F2298" t="e">
        <v>#N/A</v>
      </c>
      <c r="G2298" t="e">
        <v>#N/A</v>
      </c>
      <c r="H2298" s="214">
        <v>0</v>
      </c>
      <c r="I2298" s="425" t="e">
        <v>#N/A</v>
      </c>
      <c r="J2298" s="91">
        <v>0</v>
      </c>
      <c r="K2298" s="425">
        <v>0</v>
      </c>
      <c r="L2298" s="542" t="s">
        <v>622</v>
      </c>
    </row>
    <row r="2299" spans="1:12" ht="15">
      <c r="A2299">
        <v>465344</v>
      </c>
      <c r="B2299" t="e">
        <f t="shared" si="98"/>
        <v>#N/A</v>
      </c>
      <c r="C2299" s="209" t="e">
        <f t="shared" si="99"/>
        <v>#N/A</v>
      </c>
      <c r="D2299" t="s">
        <v>6038</v>
      </c>
      <c r="E2299" t="e">
        <v>#N/A</v>
      </c>
      <c r="F2299" t="e">
        <v>#N/A</v>
      </c>
      <c r="G2299" t="e">
        <v>#N/A</v>
      </c>
      <c r="H2299" s="214">
        <v>0</v>
      </c>
      <c r="I2299" s="425" t="e">
        <v>#N/A</v>
      </c>
      <c r="J2299" s="91">
        <v>0</v>
      </c>
      <c r="K2299" s="425">
        <v>0</v>
      </c>
      <c r="L2299" s="542" t="s">
        <v>622</v>
      </c>
    </row>
    <row r="2300" spans="1:12" ht="15">
      <c r="A2300">
        <v>465345</v>
      </c>
      <c r="B2300" t="e">
        <f t="shared" si="98"/>
        <v>#N/A</v>
      </c>
      <c r="C2300" s="209" t="e">
        <f t="shared" si="99"/>
        <v>#N/A</v>
      </c>
      <c r="D2300" t="s">
        <v>6039</v>
      </c>
      <c r="E2300" t="e">
        <v>#N/A</v>
      </c>
      <c r="F2300" t="e">
        <v>#N/A</v>
      </c>
      <c r="G2300" t="e">
        <v>#N/A</v>
      </c>
      <c r="H2300" s="214">
        <v>0</v>
      </c>
      <c r="I2300" s="425" t="e">
        <v>#N/A</v>
      </c>
      <c r="J2300" s="91">
        <v>0</v>
      </c>
      <c r="K2300" s="425">
        <v>0</v>
      </c>
      <c r="L2300" s="542" t="s">
        <v>622</v>
      </c>
    </row>
    <row r="2301" spans="1:12" ht="15">
      <c r="A2301">
        <v>465346</v>
      </c>
      <c r="B2301" t="e">
        <f t="shared" si="98"/>
        <v>#N/A</v>
      </c>
      <c r="C2301" s="209" t="e">
        <f t="shared" si="99"/>
        <v>#N/A</v>
      </c>
      <c r="D2301" t="s">
        <v>6040</v>
      </c>
      <c r="E2301" t="e">
        <v>#N/A</v>
      </c>
      <c r="F2301" t="e">
        <v>#N/A</v>
      </c>
      <c r="G2301" t="e">
        <v>#N/A</v>
      </c>
      <c r="H2301" s="214">
        <v>0</v>
      </c>
      <c r="I2301" s="425" t="e">
        <v>#N/A</v>
      </c>
      <c r="J2301" s="91">
        <v>0</v>
      </c>
      <c r="K2301" s="425">
        <v>0</v>
      </c>
      <c r="L2301" s="542" t="s">
        <v>622</v>
      </c>
    </row>
    <row r="2302" spans="1:12" ht="15">
      <c r="A2302">
        <v>465347</v>
      </c>
      <c r="B2302" t="e">
        <f t="shared" si="98"/>
        <v>#N/A</v>
      </c>
      <c r="C2302" s="209" t="e">
        <f t="shared" si="99"/>
        <v>#N/A</v>
      </c>
      <c r="D2302" t="s">
        <v>6041</v>
      </c>
      <c r="E2302" t="e">
        <v>#N/A</v>
      </c>
      <c r="F2302" t="e">
        <v>#N/A</v>
      </c>
      <c r="G2302" t="e">
        <v>#N/A</v>
      </c>
      <c r="H2302" s="214">
        <v>0</v>
      </c>
      <c r="I2302" s="425" t="e">
        <v>#N/A</v>
      </c>
      <c r="J2302" s="91">
        <v>0</v>
      </c>
      <c r="K2302" s="425">
        <v>0</v>
      </c>
      <c r="L2302" s="542" t="s">
        <v>622</v>
      </c>
    </row>
    <row r="2303" spans="1:12" ht="15">
      <c r="A2303">
        <v>465348</v>
      </c>
      <c r="B2303" t="e">
        <f t="shared" si="98"/>
        <v>#N/A</v>
      </c>
      <c r="C2303" s="209" t="e">
        <f t="shared" si="99"/>
        <v>#N/A</v>
      </c>
      <c r="D2303" t="s">
        <v>6042</v>
      </c>
      <c r="E2303" t="e">
        <v>#N/A</v>
      </c>
      <c r="F2303" t="e">
        <v>#N/A</v>
      </c>
      <c r="G2303" t="e">
        <v>#N/A</v>
      </c>
      <c r="H2303" s="214">
        <v>0</v>
      </c>
      <c r="I2303" s="425" t="e">
        <v>#N/A</v>
      </c>
      <c r="J2303" s="91">
        <v>0</v>
      </c>
      <c r="K2303" s="425">
        <v>0</v>
      </c>
      <c r="L2303" s="542" t="s">
        <v>622</v>
      </c>
    </row>
    <row r="2304" spans="1:12" ht="15">
      <c r="A2304">
        <v>465349</v>
      </c>
      <c r="B2304" t="e">
        <f t="shared" si="98"/>
        <v>#N/A</v>
      </c>
      <c r="C2304" s="209" t="e">
        <f t="shared" si="99"/>
        <v>#N/A</v>
      </c>
      <c r="D2304" t="s">
        <v>6043</v>
      </c>
      <c r="E2304" t="e">
        <v>#N/A</v>
      </c>
      <c r="F2304" t="e">
        <v>#N/A</v>
      </c>
      <c r="G2304" t="e">
        <v>#N/A</v>
      </c>
      <c r="H2304" s="214">
        <v>0</v>
      </c>
      <c r="I2304" s="425" t="e">
        <v>#N/A</v>
      </c>
      <c r="J2304" s="91">
        <v>0</v>
      </c>
      <c r="K2304" s="425">
        <v>0</v>
      </c>
      <c r="L2304" s="542" t="s">
        <v>622</v>
      </c>
    </row>
    <row r="2305" spans="1:12" ht="15">
      <c r="A2305">
        <v>465350</v>
      </c>
      <c r="B2305" t="e">
        <f t="shared" si="98"/>
        <v>#N/A</v>
      </c>
      <c r="C2305" s="209" t="e">
        <f t="shared" si="99"/>
        <v>#N/A</v>
      </c>
      <c r="D2305" t="s">
        <v>6044</v>
      </c>
      <c r="E2305" t="e">
        <v>#N/A</v>
      </c>
      <c r="F2305" t="e">
        <v>#N/A</v>
      </c>
      <c r="G2305" t="e">
        <v>#N/A</v>
      </c>
      <c r="H2305" s="214">
        <v>0</v>
      </c>
      <c r="I2305" s="425" t="e">
        <v>#N/A</v>
      </c>
      <c r="J2305" s="91">
        <v>0</v>
      </c>
      <c r="K2305" s="425">
        <v>0</v>
      </c>
      <c r="L2305" s="542" t="s">
        <v>622</v>
      </c>
    </row>
    <row r="2306" spans="1:12" ht="15">
      <c r="A2306">
        <v>465351</v>
      </c>
      <c r="B2306" t="e">
        <f t="shared" si="98"/>
        <v>#N/A</v>
      </c>
      <c r="C2306" s="209" t="e">
        <f t="shared" si="99"/>
        <v>#N/A</v>
      </c>
      <c r="D2306" t="s">
        <v>6045</v>
      </c>
      <c r="E2306" t="e">
        <v>#N/A</v>
      </c>
      <c r="F2306" t="e">
        <v>#N/A</v>
      </c>
      <c r="G2306" t="e">
        <v>#N/A</v>
      </c>
      <c r="H2306" s="214">
        <v>0</v>
      </c>
      <c r="I2306" s="425" t="e">
        <v>#N/A</v>
      </c>
      <c r="J2306" s="91">
        <v>0</v>
      </c>
      <c r="K2306" s="425">
        <v>0</v>
      </c>
      <c r="L2306" s="542" t="s">
        <v>622</v>
      </c>
    </row>
    <row r="2307" spans="1:12" ht="15">
      <c r="A2307">
        <v>465352</v>
      </c>
      <c r="B2307" t="e">
        <f t="shared" si="98"/>
        <v>#N/A</v>
      </c>
      <c r="C2307" s="209" t="e">
        <f t="shared" si="99"/>
        <v>#N/A</v>
      </c>
      <c r="D2307" t="s">
        <v>6046</v>
      </c>
      <c r="E2307" t="e">
        <v>#N/A</v>
      </c>
      <c r="F2307" t="e">
        <v>#N/A</v>
      </c>
      <c r="G2307" t="e">
        <v>#N/A</v>
      </c>
      <c r="H2307" s="214">
        <v>0</v>
      </c>
      <c r="I2307" s="425" t="e">
        <v>#N/A</v>
      </c>
      <c r="J2307" s="91">
        <v>0</v>
      </c>
      <c r="K2307" s="425">
        <v>0</v>
      </c>
      <c r="L2307" s="542" t="s">
        <v>622</v>
      </c>
    </row>
    <row r="2308" spans="1:12" ht="15">
      <c r="A2308">
        <v>465353</v>
      </c>
      <c r="B2308" t="e">
        <f t="shared" si="98"/>
        <v>#N/A</v>
      </c>
      <c r="C2308" s="209" t="e">
        <f t="shared" si="99"/>
        <v>#N/A</v>
      </c>
      <c r="D2308" t="s">
        <v>6047</v>
      </c>
      <c r="E2308" t="e">
        <v>#N/A</v>
      </c>
      <c r="F2308" t="e">
        <v>#N/A</v>
      </c>
      <c r="G2308" t="e">
        <v>#N/A</v>
      </c>
      <c r="H2308" s="214">
        <v>0</v>
      </c>
      <c r="I2308" s="425" t="e">
        <v>#N/A</v>
      </c>
      <c r="J2308" s="91">
        <v>0</v>
      </c>
      <c r="K2308" s="425">
        <v>0</v>
      </c>
      <c r="L2308" s="542" t="s">
        <v>622</v>
      </c>
    </row>
    <row r="2309" spans="1:12" ht="15">
      <c r="A2309">
        <v>465354</v>
      </c>
      <c r="B2309" t="e">
        <f t="shared" si="98"/>
        <v>#N/A</v>
      </c>
      <c r="C2309" s="209" t="e">
        <f t="shared" si="99"/>
        <v>#N/A</v>
      </c>
      <c r="D2309" t="s">
        <v>6048</v>
      </c>
      <c r="E2309" t="e">
        <v>#N/A</v>
      </c>
      <c r="F2309" t="e">
        <v>#N/A</v>
      </c>
      <c r="G2309" t="e">
        <v>#N/A</v>
      </c>
      <c r="H2309" s="214">
        <v>0</v>
      </c>
      <c r="I2309" s="425" t="e">
        <v>#N/A</v>
      </c>
      <c r="J2309" s="91">
        <v>0</v>
      </c>
      <c r="K2309" s="425">
        <v>0</v>
      </c>
      <c r="L2309" s="542" t="s">
        <v>622</v>
      </c>
    </row>
    <row r="2310" spans="1:12" ht="15">
      <c r="A2310">
        <v>465355</v>
      </c>
      <c r="B2310" t="e">
        <f t="shared" si="98"/>
        <v>#N/A</v>
      </c>
      <c r="C2310" s="209" t="e">
        <f t="shared" si="99"/>
        <v>#N/A</v>
      </c>
      <c r="D2310" t="s">
        <v>6049</v>
      </c>
      <c r="E2310" t="e">
        <v>#N/A</v>
      </c>
      <c r="F2310" t="e">
        <v>#N/A</v>
      </c>
      <c r="G2310" t="e">
        <v>#N/A</v>
      </c>
      <c r="H2310" s="214">
        <v>0</v>
      </c>
      <c r="I2310" s="425" t="e">
        <v>#N/A</v>
      </c>
      <c r="J2310" s="91">
        <v>0</v>
      </c>
      <c r="K2310" s="425">
        <v>0</v>
      </c>
      <c r="L2310" s="542" t="s">
        <v>622</v>
      </c>
    </row>
    <row r="2311" spans="1:12" ht="15">
      <c r="A2311">
        <v>465356</v>
      </c>
      <c r="B2311" t="e">
        <f t="shared" si="98"/>
        <v>#N/A</v>
      </c>
      <c r="C2311" s="209" t="e">
        <f t="shared" si="99"/>
        <v>#N/A</v>
      </c>
      <c r="D2311" t="s">
        <v>6050</v>
      </c>
      <c r="E2311" t="e">
        <v>#N/A</v>
      </c>
      <c r="F2311" t="e">
        <v>#N/A</v>
      </c>
      <c r="G2311" t="e">
        <v>#N/A</v>
      </c>
      <c r="H2311" s="214">
        <v>0</v>
      </c>
      <c r="I2311" s="425" t="e">
        <v>#N/A</v>
      </c>
      <c r="J2311" s="91">
        <v>0</v>
      </c>
      <c r="K2311" s="425">
        <v>0</v>
      </c>
      <c r="L2311" s="542" t="s">
        <v>622</v>
      </c>
    </row>
    <row r="2312" spans="1:12" ht="15">
      <c r="A2312">
        <v>465357</v>
      </c>
      <c r="B2312" t="e">
        <f t="shared" si="98"/>
        <v>#N/A</v>
      </c>
      <c r="C2312" s="209" t="e">
        <f t="shared" si="99"/>
        <v>#N/A</v>
      </c>
      <c r="D2312" t="s">
        <v>6051</v>
      </c>
      <c r="E2312" t="e">
        <v>#N/A</v>
      </c>
      <c r="F2312" t="e">
        <v>#N/A</v>
      </c>
      <c r="G2312" t="e">
        <v>#N/A</v>
      </c>
      <c r="H2312" s="214">
        <v>0</v>
      </c>
      <c r="I2312" s="425" t="e">
        <v>#N/A</v>
      </c>
      <c r="J2312" s="91">
        <v>0</v>
      </c>
      <c r="K2312" s="425">
        <v>0</v>
      </c>
      <c r="L2312" s="542" t="s">
        <v>622</v>
      </c>
    </row>
    <row r="2313" spans="1:12" ht="15">
      <c r="A2313">
        <v>465358</v>
      </c>
      <c r="B2313" t="e">
        <f t="shared" si="98"/>
        <v>#N/A</v>
      </c>
      <c r="C2313" s="209" t="e">
        <f t="shared" si="99"/>
        <v>#N/A</v>
      </c>
      <c r="D2313" t="s">
        <v>6052</v>
      </c>
      <c r="E2313" t="e">
        <v>#N/A</v>
      </c>
      <c r="F2313" t="e">
        <v>#N/A</v>
      </c>
      <c r="G2313" t="e">
        <v>#N/A</v>
      </c>
      <c r="H2313" s="214">
        <v>0</v>
      </c>
      <c r="I2313" s="425" t="e">
        <v>#N/A</v>
      </c>
      <c r="J2313" s="91">
        <v>0</v>
      </c>
      <c r="K2313" s="425">
        <v>0</v>
      </c>
      <c r="L2313" s="542" t="s">
        <v>622</v>
      </c>
    </row>
    <row r="2314" spans="1:12" ht="15">
      <c r="A2314">
        <v>465359</v>
      </c>
      <c r="B2314" t="e">
        <f t="shared" si="98"/>
        <v>#N/A</v>
      </c>
      <c r="C2314" s="209" t="e">
        <f t="shared" si="99"/>
        <v>#N/A</v>
      </c>
      <c r="D2314" t="s">
        <v>6053</v>
      </c>
      <c r="E2314" t="e">
        <v>#N/A</v>
      </c>
      <c r="F2314" t="e">
        <v>#N/A</v>
      </c>
      <c r="G2314" t="e">
        <v>#N/A</v>
      </c>
      <c r="H2314" s="214">
        <v>0</v>
      </c>
      <c r="I2314" s="425" t="e">
        <v>#N/A</v>
      </c>
      <c r="J2314" s="91">
        <v>0</v>
      </c>
      <c r="K2314" s="425">
        <v>0</v>
      </c>
      <c r="L2314" s="542" t="s">
        <v>622</v>
      </c>
    </row>
    <row r="2315" spans="1:12" ht="15">
      <c r="A2315">
        <v>465360</v>
      </c>
      <c r="B2315" t="e">
        <f t="shared" si="98"/>
        <v>#N/A</v>
      </c>
      <c r="C2315" s="209" t="e">
        <f t="shared" si="99"/>
        <v>#N/A</v>
      </c>
      <c r="D2315" t="s">
        <v>6054</v>
      </c>
      <c r="E2315" t="e">
        <v>#N/A</v>
      </c>
      <c r="F2315" t="e">
        <v>#N/A</v>
      </c>
      <c r="G2315" t="e">
        <v>#N/A</v>
      </c>
      <c r="H2315" s="214">
        <v>0</v>
      </c>
      <c r="I2315" s="425" t="e">
        <v>#N/A</v>
      </c>
      <c r="J2315" s="91">
        <v>0</v>
      </c>
      <c r="K2315" s="425">
        <v>0</v>
      </c>
      <c r="L2315" s="542" t="s">
        <v>622</v>
      </c>
    </row>
    <row r="2316" spans="1:12" ht="15">
      <c r="A2316">
        <v>465361</v>
      </c>
      <c r="B2316" t="e">
        <f t="shared" si="98"/>
        <v>#N/A</v>
      </c>
      <c r="C2316" s="209" t="e">
        <f t="shared" si="99"/>
        <v>#N/A</v>
      </c>
      <c r="D2316" t="s">
        <v>6055</v>
      </c>
      <c r="E2316" t="e">
        <v>#N/A</v>
      </c>
      <c r="F2316" t="e">
        <v>#N/A</v>
      </c>
      <c r="G2316" t="e">
        <v>#N/A</v>
      </c>
      <c r="H2316" s="214">
        <v>0</v>
      </c>
      <c r="I2316" s="425" t="e">
        <v>#N/A</v>
      </c>
      <c r="J2316" s="91">
        <v>0</v>
      </c>
      <c r="K2316" s="425">
        <v>0</v>
      </c>
      <c r="L2316" s="542" t="s">
        <v>622</v>
      </c>
    </row>
    <row r="2317" spans="1:12" ht="15">
      <c r="A2317">
        <v>465362</v>
      </c>
      <c r="B2317" t="e">
        <f t="shared" si="98"/>
        <v>#N/A</v>
      </c>
      <c r="C2317" s="209" t="e">
        <f t="shared" si="99"/>
        <v>#N/A</v>
      </c>
      <c r="D2317" t="s">
        <v>6056</v>
      </c>
      <c r="E2317" t="e">
        <v>#N/A</v>
      </c>
      <c r="F2317" t="e">
        <v>#N/A</v>
      </c>
      <c r="G2317" t="e">
        <v>#N/A</v>
      </c>
      <c r="H2317" s="214">
        <v>0</v>
      </c>
      <c r="I2317" s="425" t="e">
        <v>#N/A</v>
      </c>
      <c r="J2317" s="91">
        <v>0</v>
      </c>
      <c r="K2317" s="425">
        <v>0</v>
      </c>
      <c r="L2317" s="542" t="s">
        <v>622</v>
      </c>
    </row>
    <row r="2318" spans="1:12" ht="15">
      <c r="A2318">
        <v>465363</v>
      </c>
      <c r="B2318" t="e">
        <f t="shared" si="98"/>
        <v>#N/A</v>
      </c>
      <c r="C2318" s="209" t="e">
        <f t="shared" si="99"/>
        <v>#N/A</v>
      </c>
      <c r="D2318" t="s">
        <v>6057</v>
      </c>
      <c r="E2318" t="e">
        <v>#N/A</v>
      </c>
      <c r="F2318" t="e">
        <v>#N/A</v>
      </c>
      <c r="G2318" t="e">
        <v>#N/A</v>
      </c>
      <c r="H2318" s="214">
        <v>0</v>
      </c>
      <c r="I2318" s="425" t="e">
        <v>#N/A</v>
      </c>
      <c r="J2318" s="91">
        <v>0</v>
      </c>
      <c r="K2318" s="425">
        <v>0</v>
      </c>
      <c r="L2318" s="542" t="s">
        <v>622</v>
      </c>
    </row>
    <row r="2319" spans="1:12" ht="15">
      <c r="A2319">
        <v>465364</v>
      </c>
      <c r="B2319" t="e">
        <f t="shared" si="98"/>
        <v>#N/A</v>
      </c>
      <c r="C2319" s="209" t="e">
        <f t="shared" si="99"/>
        <v>#N/A</v>
      </c>
      <c r="D2319" t="s">
        <v>6058</v>
      </c>
      <c r="E2319" t="e">
        <v>#N/A</v>
      </c>
      <c r="F2319" t="e">
        <v>#N/A</v>
      </c>
      <c r="G2319" t="e">
        <v>#N/A</v>
      </c>
      <c r="H2319" s="214">
        <v>0</v>
      </c>
      <c r="I2319" s="425" t="e">
        <v>#N/A</v>
      </c>
      <c r="J2319" s="91">
        <v>0</v>
      </c>
      <c r="K2319" s="425">
        <v>0</v>
      </c>
      <c r="L2319" s="542" t="s">
        <v>622</v>
      </c>
    </row>
    <row r="2320" spans="1:12" ht="15">
      <c r="A2320">
        <v>465365</v>
      </c>
      <c r="B2320" t="e">
        <f t="shared" si="98"/>
        <v>#N/A</v>
      </c>
      <c r="C2320" s="209" t="e">
        <f t="shared" si="99"/>
        <v>#N/A</v>
      </c>
      <c r="D2320" t="s">
        <v>6059</v>
      </c>
      <c r="E2320" t="e">
        <v>#N/A</v>
      </c>
      <c r="F2320" t="e">
        <v>#N/A</v>
      </c>
      <c r="G2320" t="e">
        <v>#N/A</v>
      </c>
      <c r="H2320" s="214">
        <v>0</v>
      </c>
      <c r="I2320" s="425" t="e">
        <v>#N/A</v>
      </c>
      <c r="J2320" s="91">
        <v>0</v>
      </c>
      <c r="K2320" s="425">
        <v>0</v>
      </c>
      <c r="L2320" s="542" t="s">
        <v>622</v>
      </c>
    </row>
    <row r="2321" spans="1:12" ht="15">
      <c r="A2321">
        <v>465366</v>
      </c>
      <c r="B2321" t="e">
        <f t="shared" si="98"/>
        <v>#N/A</v>
      </c>
      <c r="C2321" s="209" t="e">
        <f t="shared" si="99"/>
        <v>#N/A</v>
      </c>
      <c r="D2321" t="s">
        <v>6060</v>
      </c>
      <c r="E2321" t="e">
        <v>#N/A</v>
      </c>
      <c r="F2321" t="e">
        <v>#N/A</v>
      </c>
      <c r="G2321" t="e">
        <v>#N/A</v>
      </c>
      <c r="H2321" s="214">
        <v>0</v>
      </c>
      <c r="I2321" s="425" t="e">
        <v>#N/A</v>
      </c>
      <c r="J2321" s="91">
        <v>0</v>
      </c>
      <c r="K2321" s="425">
        <v>0</v>
      </c>
      <c r="L2321" s="542" t="s">
        <v>622</v>
      </c>
    </row>
    <row r="2322" spans="1:12" ht="15">
      <c r="A2322">
        <v>465367</v>
      </c>
      <c r="B2322" t="e">
        <f t="shared" si="98"/>
        <v>#N/A</v>
      </c>
      <c r="C2322" s="209" t="e">
        <f t="shared" si="99"/>
        <v>#N/A</v>
      </c>
      <c r="D2322" t="s">
        <v>6061</v>
      </c>
      <c r="E2322" t="e">
        <v>#N/A</v>
      </c>
      <c r="F2322" t="e">
        <v>#N/A</v>
      </c>
      <c r="G2322" t="e">
        <v>#N/A</v>
      </c>
      <c r="H2322" s="214">
        <v>0</v>
      </c>
      <c r="I2322" s="425" t="e">
        <v>#N/A</v>
      </c>
      <c r="J2322" s="91">
        <v>0</v>
      </c>
      <c r="K2322" s="425">
        <v>0</v>
      </c>
      <c r="L2322" s="542" t="s">
        <v>622</v>
      </c>
    </row>
    <row r="2323" spans="1:12" ht="15">
      <c r="A2323">
        <v>465368</v>
      </c>
      <c r="B2323" t="e">
        <f t="shared" si="98"/>
        <v>#N/A</v>
      </c>
      <c r="C2323" s="209" t="e">
        <f t="shared" si="99"/>
        <v>#N/A</v>
      </c>
      <c r="D2323" t="s">
        <v>6062</v>
      </c>
      <c r="E2323" t="e">
        <v>#N/A</v>
      </c>
      <c r="F2323" t="e">
        <v>#N/A</v>
      </c>
      <c r="G2323" t="e">
        <v>#N/A</v>
      </c>
      <c r="H2323" s="214">
        <v>0</v>
      </c>
      <c r="I2323" s="425" t="e">
        <v>#N/A</v>
      </c>
      <c r="J2323" s="91">
        <v>0</v>
      </c>
      <c r="K2323" s="425">
        <v>0</v>
      </c>
      <c r="L2323" s="542" t="s">
        <v>622</v>
      </c>
    </row>
    <row r="2324" spans="1:12" ht="15">
      <c r="A2324">
        <v>465369</v>
      </c>
      <c r="B2324" t="e">
        <f t="shared" si="98"/>
        <v>#N/A</v>
      </c>
      <c r="C2324" s="209" t="e">
        <f t="shared" si="99"/>
        <v>#N/A</v>
      </c>
      <c r="D2324" t="s">
        <v>6063</v>
      </c>
      <c r="E2324" t="e">
        <v>#N/A</v>
      </c>
      <c r="F2324" t="e">
        <v>#N/A</v>
      </c>
      <c r="G2324" t="e">
        <v>#N/A</v>
      </c>
      <c r="H2324" s="214">
        <v>0</v>
      </c>
      <c r="I2324" s="425" t="e">
        <v>#N/A</v>
      </c>
      <c r="J2324" s="91">
        <v>0</v>
      </c>
      <c r="K2324" s="425">
        <v>0</v>
      </c>
      <c r="L2324" s="542" t="s">
        <v>622</v>
      </c>
    </row>
    <row r="2325" spans="1:12" ht="15">
      <c r="A2325">
        <v>465370</v>
      </c>
      <c r="B2325" t="e">
        <f t="shared" si="98"/>
        <v>#N/A</v>
      </c>
      <c r="C2325" s="209" t="e">
        <f t="shared" si="99"/>
        <v>#N/A</v>
      </c>
      <c r="D2325" t="s">
        <v>6064</v>
      </c>
      <c r="E2325" t="e">
        <v>#N/A</v>
      </c>
      <c r="F2325" t="e">
        <v>#N/A</v>
      </c>
      <c r="G2325" t="e">
        <v>#N/A</v>
      </c>
      <c r="H2325" s="214">
        <v>0</v>
      </c>
      <c r="I2325" s="425" t="e">
        <v>#N/A</v>
      </c>
      <c r="J2325" s="91">
        <v>0</v>
      </c>
      <c r="K2325" s="425">
        <v>0</v>
      </c>
      <c r="L2325" s="542" t="s">
        <v>622</v>
      </c>
    </row>
    <row r="2326" spans="1:12" ht="15">
      <c r="A2326">
        <v>465371</v>
      </c>
      <c r="B2326" t="e">
        <f t="shared" si="98"/>
        <v>#N/A</v>
      </c>
      <c r="C2326" s="209" t="e">
        <f t="shared" si="99"/>
        <v>#N/A</v>
      </c>
      <c r="D2326" t="s">
        <v>6065</v>
      </c>
      <c r="E2326" t="e">
        <v>#N/A</v>
      </c>
      <c r="F2326" t="e">
        <v>#N/A</v>
      </c>
      <c r="G2326" t="e">
        <v>#N/A</v>
      </c>
      <c r="H2326" s="214">
        <v>0</v>
      </c>
      <c r="I2326" s="425" t="e">
        <v>#N/A</v>
      </c>
      <c r="J2326" s="91">
        <v>0</v>
      </c>
      <c r="K2326" s="425">
        <v>0</v>
      </c>
      <c r="L2326" s="542" t="s">
        <v>622</v>
      </c>
    </row>
    <row r="2327" spans="1:12" ht="15">
      <c r="A2327">
        <v>465372</v>
      </c>
      <c r="B2327" t="e">
        <f t="shared" si="98"/>
        <v>#N/A</v>
      </c>
      <c r="C2327" s="209" t="e">
        <f t="shared" si="99"/>
        <v>#N/A</v>
      </c>
      <c r="D2327" t="s">
        <v>6066</v>
      </c>
      <c r="E2327" t="e">
        <v>#N/A</v>
      </c>
      <c r="F2327" t="e">
        <v>#N/A</v>
      </c>
      <c r="G2327" t="e">
        <v>#N/A</v>
      </c>
      <c r="H2327" s="214">
        <v>0</v>
      </c>
      <c r="I2327" s="425" t="e">
        <v>#N/A</v>
      </c>
      <c r="J2327" s="91">
        <v>0</v>
      </c>
      <c r="K2327" s="425">
        <v>0</v>
      </c>
      <c r="L2327" s="542" t="s">
        <v>622</v>
      </c>
    </row>
    <row r="2328" spans="1:12" ht="15">
      <c r="A2328">
        <v>465373</v>
      </c>
      <c r="B2328" t="e">
        <f t="shared" si="98"/>
        <v>#N/A</v>
      </c>
      <c r="C2328" s="209" t="e">
        <f t="shared" si="99"/>
        <v>#N/A</v>
      </c>
      <c r="D2328" t="s">
        <v>6067</v>
      </c>
      <c r="E2328" t="e">
        <v>#N/A</v>
      </c>
      <c r="F2328" t="e">
        <v>#N/A</v>
      </c>
      <c r="G2328" t="e">
        <v>#N/A</v>
      </c>
      <c r="H2328" s="214">
        <v>0</v>
      </c>
      <c r="I2328" s="425" t="e">
        <v>#N/A</v>
      </c>
      <c r="J2328" s="91">
        <v>0</v>
      </c>
      <c r="K2328" s="425">
        <v>0</v>
      </c>
      <c r="L2328" s="542" t="s">
        <v>622</v>
      </c>
    </row>
    <row r="2329" spans="1:12" ht="15">
      <c r="A2329">
        <v>465374</v>
      </c>
      <c r="B2329" t="e">
        <f t="shared" si="98"/>
        <v>#N/A</v>
      </c>
      <c r="C2329" s="209" t="e">
        <f t="shared" si="99"/>
        <v>#N/A</v>
      </c>
      <c r="D2329" t="s">
        <v>6068</v>
      </c>
      <c r="E2329" t="e">
        <v>#N/A</v>
      </c>
      <c r="F2329" t="e">
        <v>#N/A</v>
      </c>
      <c r="G2329" t="e">
        <v>#N/A</v>
      </c>
      <c r="H2329" s="214">
        <v>0</v>
      </c>
      <c r="I2329" s="425" t="e">
        <v>#N/A</v>
      </c>
      <c r="J2329" s="91">
        <v>0</v>
      </c>
      <c r="K2329" s="425">
        <v>0</v>
      </c>
      <c r="L2329" s="542" t="s">
        <v>622</v>
      </c>
    </row>
    <row r="2330" spans="1:12" ht="15">
      <c r="A2330">
        <v>465375</v>
      </c>
      <c r="B2330" t="e">
        <f t="shared" si="98"/>
        <v>#N/A</v>
      </c>
      <c r="C2330" s="209" t="e">
        <f t="shared" si="99"/>
        <v>#N/A</v>
      </c>
      <c r="D2330" t="s">
        <v>6069</v>
      </c>
      <c r="E2330" t="e">
        <v>#N/A</v>
      </c>
      <c r="F2330" t="e">
        <v>#N/A</v>
      </c>
      <c r="G2330" t="e">
        <v>#N/A</v>
      </c>
      <c r="H2330" s="214">
        <v>0</v>
      </c>
      <c r="I2330" s="425" t="e">
        <v>#N/A</v>
      </c>
      <c r="J2330" s="91">
        <v>0</v>
      </c>
      <c r="K2330" s="425">
        <v>0</v>
      </c>
      <c r="L2330" s="542" t="s">
        <v>622</v>
      </c>
    </row>
    <row r="2331" spans="1:12" ht="15">
      <c r="A2331">
        <v>465376</v>
      </c>
      <c r="B2331" t="e">
        <f t="shared" si="98"/>
        <v>#N/A</v>
      </c>
      <c r="C2331" s="209" t="e">
        <f t="shared" si="99"/>
        <v>#N/A</v>
      </c>
      <c r="D2331" t="s">
        <v>6070</v>
      </c>
      <c r="E2331" t="e">
        <v>#N/A</v>
      </c>
      <c r="F2331" t="e">
        <v>#N/A</v>
      </c>
      <c r="G2331" t="e">
        <v>#N/A</v>
      </c>
      <c r="H2331" s="214">
        <v>0</v>
      </c>
      <c r="I2331" s="425" t="e">
        <v>#N/A</v>
      </c>
      <c r="J2331" s="91">
        <v>0</v>
      </c>
      <c r="K2331" s="425">
        <v>0</v>
      </c>
      <c r="L2331" s="542" t="s">
        <v>622</v>
      </c>
    </row>
    <row r="2332" spans="1:12" ht="15">
      <c r="A2332">
        <v>465377</v>
      </c>
      <c r="B2332" t="e">
        <f t="shared" si="98"/>
        <v>#N/A</v>
      </c>
      <c r="C2332" s="209" t="e">
        <f t="shared" si="99"/>
        <v>#N/A</v>
      </c>
      <c r="D2332" t="s">
        <v>6071</v>
      </c>
      <c r="E2332" t="e">
        <v>#N/A</v>
      </c>
      <c r="F2332" t="e">
        <v>#N/A</v>
      </c>
      <c r="G2332" t="e">
        <v>#N/A</v>
      </c>
      <c r="H2332" s="214">
        <v>0</v>
      </c>
      <c r="I2332" s="425" t="e">
        <v>#N/A</v>
      </c>
      <c r="J2332" s="91">
        <v>0</v>
      </c>
      <c r="K2332" s="425">
        <v>0</v>
      </c>
      <c r="L2332" s="542" t="s">
        <v>622</v>
      </c>
    </row>
    <row r="2333" spans="1:12" ht="15">
      <c r="A2333">
        <v>465378</v>
      </c>
      <c r="B2333" t="e">
        <f t="shared" ref="B2333:B2363" si="100">IF($A$2=1,D2333,IF($A$2=2,F2333,IF($A$2=3,G2333,IF($A$2=4,E2333,"zadat jazyk"))))</f>
        <v>#N/A</v>
      </c>
      <c r="C2333" s="209" t="e">
        <f t="shared" ref="C2333:C2363" si="101">IF($A$2=1,H2333,IF($A$2=2,I2333,IF($A$2=3,J2333,IF($A$2=4,K2333,"zadat jazyk"))))</f>
        <v>#N/A</v>
      </c>
      <c r="D2333" t="s">
        <v>6072</v>
      </c>
      <c r="E2333" t="e">
        <v>#N/A</v>
      </c>
      <c r="F2333" t="e">
        <v>#N/A</v>
      </c>
      <c r="G2333" t="e">
        <v>#N/A</v>
      </c>
      <c r="H2333" s="214">
        <v>0</v>
      </c>
      <c r="I2333" s="425" t="e">
        <v>#N/A</v>
      </c>
      <c r="J2333" s="91">
        <v>0</v>
      </c>
      <c r="K2333" s="425">
        <v>0</v>
      </c>
      <c r="L2333" s="542" t="s">
        <v>622</v>
      </c>
    </row>
    <row r="2334" spans="1:12" ht="15">
      <c r="A2334">
        <v>465379</v>
      </c>
      <c r="B2334" t="e">
        <f t="shared" si="100"/>
        <v>#N/A</v>
      </c>
      <c r="C2334" s="209" t="e">
        <f t="shared" si="101"/>
        <v>#N/A</v>
      </c>
      <c r="D2334" t="s">
        <v>6073</v>
      </c>
      <c r="E2334" t="e">
        <v>#N/A</v>
      </c>
      <c r="F2334" t="e">
        <v>#N/A</v>
      </c>
      <c r="G2334" t="e">
        <v>#N/A</v>
      </c>
      <c r="H2334" s="214">
        <v>0</v>
      </c>
      <c r="I2334" s="425" t="e">
        <v>#N/A</v>
      </c>
      <c r="J2334" s="91">
        <v>0</v>
      </c>
      <c r="K2334" s="425">
        <v>0</v>
      </c>
      <c r="L2334" s="542" t="s">
        <v>622</v>
      </c>
    </row>
    <row r="2335" spans="1:12" ht="15">
      <c r="A2335">
        <v>465380</v>
      </c>
      <c r="B2335" t="e">
        <f t="shared" si="100"/>
        <v>#N/A</v>
      </c>
      <c r="C2335" s="209" t="e">
        <f t="shared" si="101"/>
        <v>#N/A</v>
      </c>
      <c r="D2335" t="s">
        <v>6074</v>
      </c>
      <c r="E2335" t="e">
        <v>#N/A</v>
      </c>
      <c r="F2335" t="e">
        <v>#N/A</v>
      </c>
      <c r="G2335" t="e">
        <v>#N/A</v>
      </c>
      <c r="H2335" s="214">
        <v>0</v>
      </c>
      <c r="I2335" s="425" t="e">
        <v>#N/A</v>
      </c>
      <c r="J2335" s="91">
        <v>0</v>
      </c>
      <c r="K2335" s="425">
        <v>0</v>
      </c>
      <c r="L2335" s="542" t="s">
        <v>622</v>
      </c>
    </row>
    <row r="2336" spans="1:12" ht="15">
      <c r="A2336">
        <v>465381</v>
      </c>
      <c r="B2336" t="e">
        <f t="shared" si="100"/>
        <v>#N/A</v>
      </c>
      <c r="C2336" s="209" t="e">
        <f t="shared" si="101"/>
        <v>#N/A</v>
      </c>
      <c r="D2336" t="s">
        <v>6075</v>
      </c>
      <c r="E2336" t="e">
        <v>#N/A</v>
      </c>
      <c r="F2336" t="e">
        <v>#N/A</v>
      </c>
      <c r="G2336" t="e">
        <v>#N/A</v>
      </c>
      <c r="H2336" s="214">
        <v>0</v>
      </c>
      <c r="I2336" s="425" t="e">
        <v>#N/A</v>
      </c>
      <c r="J2336" s="91">
        <v>0</v>
      </c>
      <c r="K2336" s="425">
        <v>0</v>
      </c>
      <c r="L2336" s="542" t="s">
        <v>622</v>
      </c>
    </row>
    <row r="2337" spans="1:12" ht="15">
      <c r="A2337">
        <v>465382</v>
      </c>
      <c r="B2337" t="e">
        <f t="shared" si="100"/>
        <v>#N/A</v>
      </c>
      <c r="C2337" s="209" t="e">
        <f t="shared" si="101"/>
        <v>#N/A</v>
      </c>
      <c r="D2337" t="s">
        <v>6076</v>
      </c>
      <c r="E2337" t="e">
        <v>#N/A</v>
      </c>
      <c r="F2337" t="e">
        <v>#N/A</v>
      </c>
      <c r="G2337" t="e">
        <v>#N/A</v>
      </c>
      <c r="H2337" s="214">
        <v>0</v>
      </c>
      <c r="I2337" s="425" t="e">
        <v>#N/A</v>
      </c>
      <c r="J2337" s="91">
        <v>0</v>
      </c>
      <c r="K2337" s="425">
        <v>0</v>
      </c>
      <c r="L2337" s="542" t="s">
        <v>622</v>
      </c>
    </row>
    <row r="2338" spans="1:12" ht="15">
      <c r="A2338">
        <v>465383</v>
      </c>
      <c r="B2338" t="e">
        <f t="shared" si="100"/>
        <v>#N/A</v>
      </c>
      <c r="C2338" s="209" t="e">
        <f t="shared" si="101"/>
        <v>#N/A</v>
      </c>
      <c r="D2338" t="s">
        <v>6077</v>
      </c>
      <c r="E2338" t="e">
        <v>#N/A</v>
      </c>
      <c r="F2338" t="e">
        <v>#N/A</v>
      </c>
      <c r="G2338" t="e">
        <v>#N/A</v>
      </c>
      <c r="H2338" s="214">
        <v>0</v>
      </c>
      <c r="I2338" s="425" t="e">
        <v>#N/A</v>
      </c>
      <c r="J2338" s="91">
        <v>0</v>
      </c>
      <c r="K2338" s="425">
        <v>0</v>
      </c>
      <c r="L2338" s="542" t="s">
        <v>622</v>
      </c>
    </row>
    <row r="2339" spans="1:12" ht="15">
      <c r="A2339">
        <v>465384</v>
      </c>
      <c r="B2339" t="e">
        <f t="shared" si="100"/>
        <v>#N/A</v>
      </c>
      <c r="C2339" s="209" t="e">
        <f t="shared" si="101"/>
        <v>#N/A</v>
      </c>
      <c r="D2339" t="s">
        <v>6077</v>
      </c>
      <c r="E2339" t="e">
        <v>#N/A</v>
      </c>
      <c r="F2339" t="e">
        <v>#N/A</v>
      </c>
      <c r="G2339" t="e">
        <v>#N/A</v>
      </c>
      <c r="H2339" s="214">
        <v>0</v>
      </c>
      <c r="I2339" s="425" t="e">
        <v>#N/A</v>
      </c>
      <c r="J2339" s="91">
        <v>0</v>
      </c>
      <c r="K2339" s="425">
        <v>0</v>
      </c>
      <c r="L2339" s="542" t="s">
        <v>622</v>
      </c>
    </row>
    <row r="2340" spans="1:12" ht="15">
      <c r="A2340">
        <v>465385</v>
      </c>
      <c r="B2340" t="e">
        <f t="shared" si="100"/>
        <v>#N/A</v>
      </c>
      <c r="C2340" s="209" t="e">
        <f t="shared" si="101"/>
        <v>#N/A</v>
      </c>
      <c r="D2340" t="s">
        <v>6006</v>
      </c>
      <c r="E2340" t="e">
        <v>#N/A</v>
      </c>
      <c r="F2340" t="e">
        <v>#N/A</v>
      </c>
      <c r="G2340" t="e">
        <v>#N/A</v>
      </c>
      <c r="H2340" s="214">
        <v>0</v>
      </c>
      <c r="I2340" s="425" t="e">
        <v>#N/A</v>
      </c>
      <c r="J2340" s="91">
        <v>0</v>
      </c>
      <c r="K2340" s="425">
        <v>0</v>
      </c>
      <c r="L2340" s="542" t="s">
        <v>622</v>
      </c>
    </row>
    <row r="2341" spans="1:12" ht="15">
      <c r="A2341">
        <v>465386</v>
      </c>
      <c r="B2341" t="e">
        <f t="shared" si="100"/>
        <v>#N/A</v>
      </c>
      <c r="C2341" s="209" t="e">
        <f t="shared" si="101"/>
        <v>#N/A</v>
      </c>
      <c r="D2341" t="s">
        <v>6006</v>
      </c>
      <c r="E2341" t="e">
        <v>#N/A</v>
      </c>
      <c r="F2341" t="e">
        <v>#N/A</v>
      </c>
      <c r="G2341" t="e">
        <v>#N/A</v>
      </c>
      <c r="H2341" s="214">
        <v>0</v>
      </c>
      <c r="I2341" s="425" t="e">
        <v>#N/A</v>
      </c>
      <c r="J2341" s="91">
        <v>0</v>
      </c>
      <c r="K2341" s="425">
        <v>0</v>
      </c>
      <c r="L2341" s="542" t="s">
        <v>622</v>
      </c>
    </row>
    <row r="2342" spans="1:12" ht="15">
      <c r="A2342">
        <v>465387</v>
      </c>
      <c r="B2342" t="e">
        <f t="shared" si="100"/>
        <v>#N/A</v>
      </c>
      <c r="C2342" s="209" t="e">
        <f t="shared" si="101"/>
        <v>#N/A</v>
      </c>
      <c r="D2342" t="s">
        <v>6078</v>
      </c>
      <c r="E2342" t="e">
        <v>#N/A</v>
      </c>
      <c r="F2342" t="e">
        <v>#N/A</v>
      </c>
      <c r="G2342" t="e">
        <v>#N/A</v>
      </c>
      <c r="H2342" s="214">
        <v>0</v>
      </c>
      <c r="I2342" s="425" t="e">
        <v>#N/A</v>
      </c>
      <c r="J2342" s="91">
        <v>0</v>
      </c>
      <c r="K2342" s="425">
        <v>0</v>
      </c>
      <c r="L2342" s="542" t="s">
        <v>622</v>
      </c>
    </row>
    <row r="2343" spans="1:12" ht="15">
      <c r="A2343">
        <v>465388</v>
      </c>
      <c r="B2343" t="e">
        <f t="shared" si="100"/>
        <v>#N/A</v>
      </c>
      <c r="C2343" s="209" t="e">
        <f t="shared" si="101"/>
        <v>#N/A</v>
      </c>
      <c r="D2343" t="s">
        <v>6078</v>
      </c>
      <c r="E2343" t="e">
        <v>#N/A</v>
      </c>
      <c r="F2343" t="e">
        <v>#N/A</v>
      </c>
      <c r="G2343" t="e">
        <v>#N/A</v>
      </c>
      <c r="H2343" s="214">
        <v>0</v>
      </c>
      <c r="I2343" s="425" t="e">
        <v>#N/A</v>
      </c>
      <c r="J2343" s="91">
        <v>0</v>
      </c>
      <c r="K2343" s="425">
        <v>0</v>
      </c>
      <c r="L2343" s="542" t="s">
        <v>622</v>
      </c>
    </row>
    <row r="2344" spans="1:12" ht="15">
      <c r="A2344">
        <v>465389</v>
      </c>
      <c r="B2344" t="e">
        <f t="shared" si="100"/>
        <v>#N/A</v>
      </c>
      <c r="C2344" s="209" t="e">
        <f t="shared" si="101"/>
        <v>#N/A</v>
      </c>
      <c r="D2344" t="s">
        <v>6007</v>
      </c>
      <c r="E2344" t="e">
        <v>#N/A</v>
      </c>
      <c r="F2344" t="e">
        <v>#N/A</v>
      </c>
      <c r="G2344" t="e">
        <v>#N/A</v>
      </c>
      <c r="H2344" s="214">
        <v>0</v>
      </c>
      <c r="I2344" s="425" t="e">
        <v>#N/A</v>
      </c>
      <c r="J2344" s="91">
        <v>0</v>
      </c>
      <c r="K2344" s="425">
        <v>0</v>
      </c>
      <c r="L2344" s="542" t="s">
        <v>622</v>
      </c>
    </row>
    <row r="2345" spans="1:12" ht="15">
      <c r="A2345">
        <v>465390</v>
      </c>
      <c r="B2345" t="e">
        <f t="shared" si="100"/>
        <v>#N/A</v>
      </c>
      <c r="C2345" s="209" t="e">
        <f t="shared" si="101"/>
        <v>#N/A</v>
      </c>
      <c r="D2345" t="s">
        <v>6007</v>
      </c>
      <c r="E2345" t="e">
        <v>#N/A</v>
      </c>
      <c r="F2345" t="e">
        <v>#N/A</v>
      </c>
      <c r="G2345" t="e">
        <v>#N/A</v>
      </c>
      <c r="H2345" s="214">
        <v>0</v>
      </c>
      <c r="I2345" s="425" t="e">
        <v>#N/A</v>
      </c>
      <c r="J2345" s="91">
        <v>0</v>
      </c>
      <c r="K2345" s="425">
        <v>0</v>
      </c>
      <c r="L2345" s="542" t="s">
        <v>622</v>
      </c>
    </row>
    <row r="2346" spans="1:12" ht="15">
      <c r="A2346">
        <v>465391</v>
      </c>
      <c r="B2346" t="e">
        <f t="shared" si="100"/>
        <v>#N/A</v>
      </c>
      <c r="C2346" s="209" t="e">
        <f t="shared" si="101"/>
        <v>#N/A</v>
      </c>
      <c r="D2346" t="s">
        <v>6079</v>
      </c>
      <c r="E2346" t="e">
        <v>#N/A</v>
      </c>
      <c r="F2346" t="e">
        <v>#N/A</v>
      </c>
      <c r="G2346" t="e">
        <v>#N/A</v>
      </c>
      <c r="H2346" s="214">
        <v>0</v>
      </c>
      <c r="I2346" s="425" t="e">
        <v>#N/A</v>
      </c>
      <c r="J2346" s="91">
        <v>0</v>
      </c>
      <c r="K2346" s="425">
        <v>0</v>
      </c>
      <c r="L2346" s="542" t="s">
        <v>622</v>
      </c>
    </row>
    <row r="2347" spans="1:12" ht="15">
      <c r="A2347">
        <v>465392</v>
      </c>
      <c r="B2347" t="e">
        <f t="shared" si="100"/>
        <v>#N/A</v>
      </c>
      <c r="C2347" s="209" t="e">
        <f t="shared" si="101"/>
        <v>#N/A</v>
      </c>
      <c r="D2347" t="s">
        <v>6079</v>
      </c>
      <c r="E2347" t="e">
        <v>#N/A</v>
      </c>
      <c r="F2347" t="e">
        <v>#N/A</v>
      </c>
      <c r="G2347" t="e">
        <v>#N/A</v>
      </c>
      <c r="H2347" s="214">
        <v>0</v>
      </c>
      <c r="I2347" s="425" t="e">
        <v>#N/A</v>
      </c>
      <c r="J2347" s="91">
        <v>0</v>
      </c>
      <c r="K2347" s="425">
        <v>0</v>
      </c>
      <c r="L2347" s="542" t="s">
        <v>622</v>
      </c>
    </row>
    <row r="2348" spans="1:12" ht="15">
      <c r="A2348">
        <v>465393</v>
      </c>
      <c r="B2348" t="e">
        <f t="shared" si="100"/>
        <v>#N/A</v>
      </c>
      <c r="C2348" s="209" t="e">
        <f t="shared" si="101"/>
        <v>#N/A</v>
      </c>
      <c r="D2348" t="s">
        <v>6008</v>
      </c>
      <c r="E2348" t="e">
        <v>#N/A</v>
      </c>
      <c r="F2348" t="e">
        <v>#N/A</v>
      </c>
      <c r="G2348" t="e">
        <v>#N/A</v>
      </c>
      <c r="H2348" s="214">
        <v>0</v>
      </c>
      <c r="I2348" s="425" t="e">
        <v>#N/A</v>
      </c>
      <c r="J2348" s="91">
        <v>0</v>
      </c>
      <c r="K2348" s="425">
        <v>0</v>
      </c>
      <c r="L2348" s="542" t="s">
        <v>622</v>
      </c>
    </row>
    <row r="2349" spans="1:12" ht="15">
      <c r="A2349">
        <v>465394</v>
      </c>
      <c r="B2349" t="e">
        <f t="shared" si="100"/>
        <v>#N/A</v>
      </c>
      <c r="C2349" s="209" t="e">
        <f t="shared" si="101"/>
        <v>#N/A</v>
      </c>
      <c r="D2349" t="s">
        <v>6008</v>
      </c>
      <c r="E2349" t="e">
        <v>#N/A</v>
      </c>
      <c r="F2349" t="e">
        <v>#N/A</v>
      </c>
      <c r="G2349" t="e">
        <v>#N/A</v>
      </c>
      <c r="H2349" s="214">
        <v>0</v>
      </c>
      <c r="I2349" s="425" t="e">
        <v>#N/A</v>
      </c>
      <c r="J2349" s="91">
        <v>0</v>
      </c>
      <c r="K2349" s="425">
        <v>0</v>
      </c>
      <c r="L2349" s="542" t="s">
        <v>622</v>
      </c>
    </row>
    <row r="2350" spans="1:12" ht="15">
      <c r="A2350">
        <v>465395</v>
      </c>
      <c r="B2350" t="e">
        <f t="shared" si="100"/>
        <v>#N/A</v>
      </c>
      <c r="C2350" s="209" t="e">
        <f t="shared" si="101"/>
        <v>#N/A</v>
      </c>
      <c r="D2350" t="s">
        <v>6080</v>
      </c>
      <c r="E2350" t="e">
        <v>#N/A</v>
      </c>
      <c r="F2350" t="e">
        <v>#N/A</v>
      </c>
      <c r="G2350" t="e">
        <v>#N/A</v>
      </c>
      <c r="H2350" s="214">
        <v>0</v>
      </c>
      <c r="I2350" s="425" t="e">
        <v>#N/A</v>
      </c>
      <c r="J2350" s="91">
        <v>0</v>
      </c>
      <c r="K2350" s="425">
        <v>0</v>
      </c>
      <c r="L2350" s="542" t="s">
        <v>622</v>
      </c>
    </row>
    <row r="2351" spans="1:12" ht="15">
      <c r="A2351">
        <v>465397</v>
      </c>
      <c r="B2351" t="e">
        <f t="shared" si="100"/>
        <v>#N/A</v>
      </c>
      <c r="C2351" s="209" t="e">
        <f t="shared" si="101"/>
        <v>#N/A</v>
      </c>
      <c r="D2351" t="s">
        <v>6081</v>
      </c>
      <c r="E2351" t="e">
        <v>#N/A</v>
      </c>
      <c r="F2351" t="e">
        <v>#N/A</v>
      </c>
      <c r="G2351" t="e">
        <v>#N/A</v>
      </c>
      <c r="H2351" s="214">
        <v>0</v>
      </c>
      <c r="I2351" s="425" t="e">
        <v>#N/A</v>
      </c>
      <c r="J2351" s="91">
        <v>0</v>
      </c>
      <c r="K2351" s="425">
        <v>0</v>
      </c>
      <c r="L2351" s="542" t="s">
        <v>622</v>
      </c>
    </row>
    <row r="2352" spans="1:12" ht="15">
      <c r="A2352">
        <v>465398</v>
      </c>
      <c r="B2352" t="e">
        <f t="shared" si="100"/>
        <v>#N/A</v>
      </c>
      <c r="C2352" s="209" t="e">
        <f t="shared" si="101"/>
        <v>#N/A</v>
      </c>
      <c r="D2352" t="s">
        <v>6082</v>
      </c>
      <c r="E2352" t="e">
        <v>#N/A</v>
      </c>
      <c r="F2352" t="e">
        <v>#N/A</v>
      </c>
      <c r="G2352" t="e">
        <v>#N/A</v>
      </c>
      <c r="H2352" s="214">
        <v>0</v>
      </c>
      <c r="I2352" s="425" t="e">
        <v>#N/A</v>
      </c>
      <c r="J2352" s="91">
        <v>0</v>
      </c>
      <c r="K2352" s="425">
        <v>0</v>
      </c>
      <c r="L2352" s="542" t="s">
        <v>622</v>
      </c>
    </row>
    <row r="2353" spans="1:12" ht="15">
      <c r="A2353">
        <v>210565</v>
      </c>
      <c r="B2353" t="str">
        <f t="shared" si="100"/>
        <v>Sevroll zákazka Interia Znojmo RAL 9003 lesk</v>
      </c>
      <c r="C2353" s="209" t="e">
        <f t="shared" si="101"/>
        <v>#N/A</v>
      </c>
      <c r="D2353" t="s">
        <v>6083</v>
      </c>
      <c r="E2353" t="s">
        <v>6846</v>
      </c>
      <c r="F2353" t="s">
        <v>7344</v>
      </c>
      <c r="G2353" t="s">
        <v>7964</v>
      </c>
      <c r="H2353" s="214">
        <v>0</v>
      </c>
      <c r="I2353" s="425" t="e">
        <v>#N/A</v>
      </c>
      <c r="J2353" s="91">
        <v>0</v>
      </c>
      <c r="K2353" s="425">
        <v>0</v>
      </c>
      <c r="L2353" s="542" t="s">
        <v>622</v>
      </c>
    </row>
    <row r="2354" spans="1:12" ht="15">
      <c r="A2354">
        <v>210594</v>
      </c>
      <c r="B2354" t="e">
        <f t="shared" si="100"/>
        <v>#N/A</v>
      </c>
      <c r="C2354" s="209" t="e">
        <f t="shared" si="101"/>
        <v>#N/A</v>
      </c>
      <c r="D2354" t="s">
        <v>6084</v>
      </c>
      <c r="E2354" t="e">
        <v>#N/A</v>
      </c>
      <c r="F2354" t="e">
        <v>#N/A</v>
      </c>
      <c r="G2354" t="e">
        <v>#N/A</v>
      </c>
      <c r="H2354" s="214">
        <v>277.72919999999999</v>
      </c>
      <c r="I2354" s="425" t="e">
        <v>#N/A</v>
      </c>
      <c r="J2354" s="91">
        <v>51.869070000000001</v>
      </c>
      <c r="K2354" s="425">
        <v>4055.9871499999999</v>
      </c>
      <c r="L2354" s="542" t="s">
        <v>622</v>
      </c>
    </row>
    <row r="2355" spans="1:12" ht="15">
      <c r="A2355">
        <v>210595</v>
      </c>
      <c r="B2355" t="e">
        <f t="shared" si="100"/>
        <v>#N/A</v>
      </c>
      <c r="C2355" s="209" t="e">
        <f t="shared" si="101"/>
        <v>#N/A</v>
      </c>
      <c r="D2355" t="s">
        <v>6085</v>
      </c>
      <c r="E2355" t="e">
        <v>#N/A</v>
      </c>
      <c r="F2355" t="e">
        <v>#N/A</v>
      </c>
      <c r="G2355" t="e">
        <v>#N/A</v>
      </c>
      <c r="H2355" s="214">
        <v>486.02609999999999</v>
      </c>
      <c r="I2355" s="425" t="e">
        <v>#N/A</v>
      </c>
      <c r="J2355" s="91">
        <v>90.770870000000002</v>
      </c>
      <c r="K2355" s="425">
        <v>7097.9775099999997</v>
      </c>
      <c r="L2355" s="542" t="s">
        <v>622</v>
      </c>
    </row>
    <row r="2356" spans="1:12" ht="15">
      <c r="A2356">
        <v>89036</v>
      </c>
      <c r="B2356" t="str">
        <f t="shared" si="100"/>
        <v>SEVROLL ZR10 sada pre rozbalovacie dvere</v>
      </c>
      <c r="C2356" s="209">
        <f t="shared" si="101"/>
        <v>23.621919999999999</v>
      </c>
      <c r="D2356" t="s">
        <v>6086</v>
      </c>
      <c r="E2356" t="s">
        <v>6847</v>
      </c>
      <c r="F2356" t="s">
        <v>7345</v>
      </c>
      <c r="G2356" t="s">
        <v>7965</v>
      </c>
      <c r="H2356" s="214">
        <v>679.65440000000001</v>
      </c>
      <c r="I2356" s="425">
        <v>23.621919999999999</v>
      </c>
      <c r="J2356" s="91">
        <v>80.319999999999993</v>
      </c>
      <c r="K2356" s="425">
        <v>7700.6768000000002</v>
      </c>
      <c r="L2356" s="542" t="s">
        <v>622</v>
      </c>
    </row>
    <row r="2357" spans="1:12" ht="15">
      <c r="A2357">
        <v>86277</v>
      </c>
      <c r="B2357" t="e">
        <f t="shared" si="100"/>
        <v>#N/A</v>
      </c>
      <c r="C2357" s="209" t="e">
        <f t="shared" si="101"/>
        <v>#N/A</v>
      </c>
      <c r="D2357" t="s">
        <v>6087</v>
      </c>
      <c r="E2357" t="e">
        <v>#N/A</v>
      </c>
      <c r="F2357" t="e">
        <v>#N/A</v>
      </c>
      <c r="G2357" t="e">
        <v>#N/A</v>
      </c>
      <c r="H2357" s="214">
        <v>408.26384999999999</v>
      </c>
      <c r="I2357" s="425" t="e">
        <v>#N/A</v>
      </c>
      <c r="J2357" s="91">
        <v>76.247889999999998</v>
      </c>
      <c r="K2357" s="425">
        <v>5962.3292199999996</v>
      </c>
      <c r="L2357" s="542" t="s">
        <v>622</v>
      </c>
    </row>
    <row r="2358" spans="1:12" ht="15">
      <c r="A2358">
        <v>86280</v>
      </c>
      <c r="B2358" t="e">
        <f t="shared" si="100"/>
        <v>#N/A</v>
      </c>
      <c r="C2358" s="209" t="e">
        <f t="shared" si="101"/>
        <v>#N/A</v>
      </c>
      <c r="D2358" t="s">
        <v>6088</v>
      </c>
      <c r="E2358" t="e">
        <v>#N/A</v>
      </c>
      <c r="F2358" t="e">
        <v>#N/A</v>
      </c>
      <c r="G2358" t="e">
        <v>#N/A</v>
      </c>
      <c r="H2358" s="214">
        <v>594.55619999999999</v>
      </c>
      <c r="I2358" s="425" t="e">
        <v>#N/A</v>
      </c>
      <c r="J2358" s="91">
        <v>111.04009000000001</v>
      </c>
      <c r="K2358" s="425">
        <v>8682.9627600000003</v>
      </c>
      <c r="L2358" s="542" t="s">
        <v>620</v>
      </c>
    </row>
    <row r="2359" spans="1:12" ht="15">
      <c r="A2359">
        <v>86281</v>
      </c>
      <c r="B2359" t="e">
        <f t="shared" si="100"/>
        <v>#N/A</v>
      </c>
      <c r="C2359" s="209" t="e">
        <f t="shared" si="101"/>
        <v>#N/A</v>
      </c>
      <c r="D2359" t="s">
        <v>6089</v>
      </c>
      <c r="E2359" t="e">
        <v>#N/A</v>
      </c>
      <c r="F2359" t="e">
        <v>#N/A</v>
      </c>
      <c r="G2359" t="e">
        <v>#N/A</v>
      </c>
      <c r="H2359" s="214">
        <v>612.39095999999995</v>
      </c>
      <c r="I2359" s="425" t="e">
        <v>#N/A</v>
      </c>
      <c r="J2359" s="91">
        <v>114.37094</v>
      </c>
      <c r="K2359" s="425">
        <v>8943.42353</v>
      </c>
      <c r="L2359" s="542" t="s">
        <v>620</v>
      </c>
    </row>
    <row r="2360" spans="1:12" ht="15">
      <c r="A2360">
        <v>86284</v>
      </c>
      <c r="B2360" t="e">
        <f t="shared" si="100"/>
        <v>#N/A</v>
      </c>
      <c r="C2360" s="209" t="e">
        <f t="shared" si="101"/>
        <v>#N/A</v>
      </c>
      <c r="D2360" t="s">
        <v>6090</v>
      </c>
      <c r="E2360" t="e">
        <v>#N/A</v>
      </c>
      <c r="F2360" t="e">
        <v>#N/A</v>
      </c>
      <c r="G2360" t="e">
        <v>#N/A</v>
      </c>
      <c r="H2360" s="214">
        <v>357.56959999999998</v>
      </c>
      <c r="I2360" s="425" t="e">
        <v>#N/A</v>
      </c>
      <c r="J2360" s="91">
        <v>66.780169999999998</v>
      </c>
      <c r="K2360" s="425">
        <v>5384.99172</v>
      </c>
      <c r="L2360" s="542" t="s">
        <v>622</v>
      </c>
    </row>
    <row r="2361" spans="1:12" ht="15">
      <c r="A2361">
        <v>86285</v>
      </c>
      <c r="B2361" t="e">
        <f t="shared" si="100"/>
        <v>#N/A</v>
      </c>
      <c r="C2361" s="209" t="e">
        <f t="shared" si="101"/>
        <v>#N/A</v>
      </c>
      <c r="D2361" t="s">
        <v>6091</v>
      </c>
      <c r="E2361" t="e">
        <v>#N/A</v>
      </c>
      <c r="F2361" t="e">
        <v>#N/A</v>
      </c>
      <c r="G2361" t="e">
        <v>#N/A</v>
      </c>
      <c r="H2361" s="214">
        <v>347.16149999999999</v>
      </c>
      <c r="I2361" s="425" t="e">
        <v>#N/A</v>
      </c>
      <c r="J2361" s="91">
        <v>64.836349999999996</v>
      </c>
      <c r="K2361" s="425">
        <v>5069.9839300000003</v>
      </c>
      <c r="L2361" s="542" t="s">
        <v>620</v>
      </c>
    </row>
    <row r="2362" spans="1:12" ht="15">
      <c r="A2362">
        <v>86288</v>
      </c>
      <c r="B2362" t="e">
        <f t="shared" si="100"/>
        <v>#N/A</v>
      </c>
      <c r="C2362" s="209" t="e">
        <f t="shared" si="101"/>
        <v>#N/A</v>
      </c>
      <c r="D2362" t="s">
        <v>6092</v>
      </c>
      <c r="E2362" t="e">
        <v>#N/A</v>
      </c>
      <c r="F2362" t="e">
        <v>#N/A</v>
      </c>
      <c r="G2362" t="e">
        <v>#N/A</v>
      </c>
      <c r="H2362" s="214">
        <v>555.45839999999998</v>
      </c>
      <c r="I2362" s="425" t="e">
        <v>#N/A</v>
      </c>
      <c r="J2362" s="91">
        <v>103.73813</v>
      </c>
      <c r="K2362" s="425">
        <v>8111.9742900000001</v>
      </c>
      <c r="L2362" s="542" t="s">
        <v>620</v>
      </c>
    </row>
    <row r="2363" spans="1:12" ht="15">
      <c r="A2363">
        <v>86276</v>
      </c>
      <c r="B2363" t="e">
        <f t="shared" si="100"/>
        <v>#N/A</v>
      </c>
      <c r="C2363" s="209" t="e">
        <f t="shared" si="101"/>
        <v>#N/A</v>
      </c>
      <c r="D2363" t="s">
        <v>6093</v>
      </c>
      <c r="E2363" t="e">
        <v>#N/A</v>
      </c>
      <c r="F2363" t="e">
        <v>#N/A</v>
      </c>
      <c r="G2363" t="e">
        <v>#N/A</v>
      </c>
      <c r="H2363" s="214">
        <v>616.20829000000003</v>
      </c>
      <c r="I2363" s="425" t="e">
        <v>#N/A</v>
      </c>
      <c r="J2363" s="91">
        <v>115.08387</v>
      </c>
      <c r="K2363" s="425">
        <v>9280.0856399999993</v>
      </c>
      <c r="L2363" s="542" t="s">
        <v>622</v>
      </c>
    </row>
    <row r="2364" spans="1:12" ht="15">
      <c r="A2364">
        <v>86289</v>
      </c>
      <c r="B2364" t="e">
        <f t="shared" ref="B2364:B2390" si="102">IF($A$2=1,D2364,IF($A$2=2,F2364,IF($A$2=3,G2364,IF($A$2=4,E2364,"zadat jazyk"))))</f>
        <v>#N/A</v>
      </c>
      <c r="C2364" s="209" t="e">
        <f t="shared" ref="C2364:C2390" si="103">IF($A$2=1,H2364,IF($A$2=2,I2364,IF($A$2=3,J2364,IF($A$2=4,K2364,"zadat jazyk"))))</f>
        <v>#N/A</v>
      </c>
      <c r="D2364" t="s">
        <v>6094</v>
      </c>
      <c r="E2364" t="e">
        <v>#N/A</v>
      </c>
      <c r="F2364" t="e">
        <v>#N/A</v>
      </c>
      <c r="G2364" t="e">
        <v>#N/A</v>
      </c>
      <c r="H2364" s="214">
        <v>458.25317999999999</v>
      </c>
      <c r="I2364" s="425" t="e">
        <v>#N/A</v>
      </c>
      <c r="J2364" s="91">
        <v>85.583969999999994</v>
      </c>
      <c r="K2364" s="425">
        <v>6901.2845399999997</v>
      </c>
      <c r="L2364" s="542" t="s">
        <v>622</v>
      </c>
    </row>
    <row r="2365" spans="1:12" ht="15">
      <c r="A2365">
        <v>86290</v>
      </c>
      <c r="B2365" t="e">
        <f t="shared" si="102"/>
        <v>#N/A</v>
      </c>
      <c r="C2365" s="209" t="e">
        <f t="shared" si="103"/>
        <v>#N/A</v>
      </c>
      <c r="D2365" t="s">
        <v>6095</v>
      </c>
      <c r="E2365" t="e">
        <v>#N/A</v>
      </c>
      <c r="F2365" t="e">
        <v>#N/A</v>
      </c>
      <c r="G2365" t="e">
        <v>#N/A</v>
      </c>
      <c r="H2365" s="214">
        <v>533.88720000000001</v>
      </c>
      <c r="I2365" s="425" t="e">
        <v>#N/A</v>
      </c>
      <c r="J2365" s="91">
        <v>99.709469999999996</v>
      </c>
      <c r="K2365" s="425">
        <v>7796.9461499999998</v>
      </c>
      <c r="L2365" s="542" t="s">
        <v>620</v>
      </c>
    </row>
    <row r="2366" spans="1:12" ht="15">
      <c r="A2366">
        <v>86291</v>
      </c>
      <c r="B2366" t="e">
        <f t="shared" si="102"/>
        <v>#N/A</v>
      </c>
      <c r="C2366" s="209" t="e">
        <f t="shared" si="103"/>
        <v>#N/A</v>
      </c>
      <c r="D2366" t="s">
        <v>6096</v>
      </c>
      <c r="E2366" t="e">
        <v>#N/A</v>
      </c>
      <c r="F2366" t="e">
        <v>#N/A</v>
      </c>
      <c r="G2366" t="e">
        <v>#N/A</v>
      </c>
      <c r="H2366" s="214">
        <v>645.73387000000002</v>
      </c>
      <c r="I2366" s="425" t="e">
        <v>#N/A</v>
      </c>
      <c r="J2366" s="91">
        <v>120.59811000000001</v>
      </c>
      <c r="K2366" s="425">
        <v>9724.7403300000005</v>
      </c>
      <c r="L2366" s="542" t="s">
        <v>622</v>
      </c>
    </row>
    <row r="2367" spans="1:12" ht="15">
      <c r="A2367">
        <v>86292</v>
      </c>
      <c r="B2367" t="e">
        <f t="shared" si="102"/>
        <v>#N/A</v>
      </c>
      <c r="C2367" s="209" t="e">
        <f t="shared" si="103"/>
        <v>#N/A</v>
      </c>
      <c r="D2367" t="s">
        <v>6097</v>
      </c>
      <c r="E2367" t="e">
        <v>#N/A</v>
      </c>
      <c r="F2367" t="e">
        <v>#N/A</v>
      </c>
      <c r="G2367" t="e">
        <v>#N/A</v>
      </c>
      <c r="H2367" s="214">
        <v>752.29560000000004</v>
      </c>
      <c r="I2367" s="425" t="e">
        <v>#N/A</v>
      </c>
      <c r="J2367" s="91">
        <v>140.49970999999999</v>
      </c>
      <c r="K2367" s="425">
        <v>10986.605949999999</v>
      </c>
      <c r="L2367" s="542" t="s">
        <v>620</v>
      </c>
    </row>
    <row r="2368" spans="1:12" ht="15">
      <c r="A2368">
        <v>86299</v>
      </c>
      <c r="B2368" t="e">
        <f t="shared" si="102"/>
        <v>#N/A</v>
      </c>
      <c r="C2368" s="209" t="e">
        <f t="shared" si="103"/>
        <v>#N/A</v>
      </c>
      <c r="D2368" t="s">
        <v>6098</v>
      </c>
      <c r="E2368" t="e">
        <v>#N/A</v>
      </c>
      <c r="F2368" t="e">
        <v>#N/A</v>
      </c>
      <c r="G2368" t="e">
        <v>#N/A</v>
      </c>
      <c r="H2368" s="214">
        <v>220.79471000000001</v>
      </c>
      <c r="I2368" s="425" t="e">
        <v>#N/A</v>
      </c>
      <c r="J2368" s="91">
        <v>41.23592</v>
      </c>
      <c r="K2368" s="425">
        <v>3325.1643600000002</v>
      </c>
      <c r="L2368" s="542" t="s">
        <v>622</v>
      </c>
    </row>
    <row r="2369" spans="1:12" ht="15">
      <c r="A2369">
        <v>181372</v>
      </c>
      <c r="B2369" t="e">
        <f t="shared" si="102"/>
        <v>#N/A</v>
      </c>
      <c r="C2369" s="209" t="e">
        <f t="shared" si="103"/>
        <v>#N/A</v>
      </c>
      <c r="D2369" t="s">
        <v>6099</v>
      </c>
      <c r="E2369" t="e">
        <v>#N/A</v>
      </c>
      <c r="F2369" t="e">
        <v>#N/A</v>
      </c>
      <c r="G2369" t="e">
        <v>#N/A</v>
      </c>
      <c r="H2369" s="214">
        <v>77.521500000000003</v>
      </c>
      <c r="I2369" s="425" t="e">
        <v>#N/A</v>
      </c>
      <c r="J2369" s="91">
        <v>14.478009999999999</v>
      </c>
      <c r="K2369" s="425">
        <v>1132.1323400000001</v>
      </c>
      <c r="L2369" s="542" t="s">
        <v>622</v>
      </c>
    </row>
    <row r="2370" spans="1:12" ht="15">
      <c r="A2370">
        <v>181374</v>
      </c>
      <c r="B2370" t="e">
        <f t="shared" si="102"/>
        <v>#N/A</v>
      </c>
      <c r="C2370" s="209" t="e">
        <f t="shared" si="103"/>
        <v>#N/A</v>
      </c>
      <c r="D2370" t="s">
        <v>6100</v>
      </c>
      <c r="E2370" t="e">
        <v>#N/A</v>
      </c>
      <c r="F2370" t="e">
        <v>#N/A</v>
      </c>
      <c r="G2370" t="e">
        <v>#N/A</v>
      </c>
      <c r="H2370" s="214">
        <v>877.67819999999995</v>
      </c>
      <c r="I2370" s="425" t="e">
        <v>#N/A</v>
      </c>
      <c r="J2370" s="91">
        <v>163.91633999999999</v>
      </c>
      <c r="K2370" s="425">
        <v>12817.70694</v>
      </c>
      <c r="L2370" s="542" t="s">
        <v>620</v>
      </c>
    </row>
    <row r="2371" spans="1:12" ht="15">
      <c r="A2371">
        <v>183483</v>
      </c>
      <c r="B2371" t="e">
        <f t="shared" si="102"/>
        <v>#N/A</v>
      </c>
      <c r="C2371" s="209" t="e">
        <f t="shared" si="103"/>
        <v>#N/A</v>
      </c>
      <c r="D2371" t="s">
        <v>6101</v>
      </c>
      <c r="E2371" t="e">
        <v>#N/A</v>
      </c>
      <c r="F2371" t="e">
        <v>#N/A</v>
      </c>
      <c r="G2371" t="e">
        <v>#N/A</v>
      </c>
      <c r="H2371" s="214">
        <v>448.2765</v>
      </c>
      <c r="I2371" s="425" t="e">
        <v>#N/A</v>
      </c>
      <c r="J2371" s="91">
        <v>83.720709999999997</v>
      </c>
      <c r="K2371" s="425">
        <v>6546.6782899999998</v>
      </c>
      <c r="L2371" s="542" t="s">
        <v>622</v>
      </c>
    </row>
    <row r="2372" spans="1:12" ht="15">
      <c r="A2372">
        <v>183533</v>
      </c>
      <c r="B2372" t="e">
        <f t="shared" si="102"/>
        <v>#N/A</v>
      </c>
      <c r="C2372" s="209" t="e">
        <f t="shared" si="103"/>
        <v>#N/A</v>
      </c>
      <c r="D2372" t="s">
        <v>5532</v>
      </c>
      <c r="E2372" t="e">
        <v>#N/A</v>
      </c>
      <c r="F2372" t="e">
        <v>#N/A</v>
      </c>
      <c r="G2372" t="e">
        <v>#N/A</v>
      </c>
      <c r="H2372" s="214">
        <v>108.5301</v>
      </c>
      <c r="I2372" s="425" t="e">
        <v>#N/A</v>
      </c>
      <c r="J2372" s="91">
        <v>20.269220000000001</v>
      </c>
      <c r="K2372" s="425">
        <v>1584.9852699999999</v>
      </c>
      <c r="L2372" s="542" t="s">
        <v>622</v>
      </c>
    </row>
    <row r="2373" spans="1:12" ht="15">
      <c r="A2373">
        <v>183643</v>
      </c>
      <c r="B2373" t="e">
        <f t="shared" si="102"/>
        <v>#N/A</v>
      </c>
      <c r="C2373" s="209" t="e">
        <f t="shared" si="103"/>
        <v>#N/A</v>
      </c>
      <c r="D2373" t="s">
        <v>6102</v>
      </c>
      <c r="E2373" t="e">
        <v>#N/A</v>
      </c>
      <c r="F2373" t="e">
        <v>#N/A</v>
      </c>
      <c r="G2373" t="e">
        <v>#N/A</v>
      </c>
      <c r="H2373" s="214">
        <v>622.86839999999995</v>
      </c>
      <c r="I2373" s="425" t="e">
        <v>#N/A</v>
      </c>
      <c r="J2373" s="91">
        <v>116.32772</v>
      </c>
      <c r="K2373" s="425">
        <v>9096.4371800000008</v>
      </c>
      <c r="L2373" s="542" t="s">
        <v>622</v>
      </c>
    </row>
    <row r="2374" spans="1:12" ht="15">
      <c r="A2374">
        <v>183720</v>
      </c>
      <c r="B2374" t="e">
        <f t="shared" si="102"/>
        <v>#N/A</v>
      </c>
      <c r="C2374" s="209" t="e">
        <f t="shared" si="103"/>
        <v>#N/A</v>
      </c>
      <c r="D2374" t="s">
        <v>6103</v>
      </c>
      <c r="E2374" t="e">
        <v>#N/A</v>
      </c>
      <c r="F2374" t="e">
        <v>#N/A</v>
      </c>
      <c r="G2374" t="e">
        <v>#N/A</v>
      </c>
      <c r="H2374" s="214">
        <v>877.67819999999995</v>
      </c>
      <c r="I2374" s="425" t="e">
        <v>#N/A</v>
      </c>
      <c r="J2374" s="91">
        <v>163.91633999999999</v>
      </c>
      <c r="K2374" s="425">
        <v>12817.70694</v>
      </c>
      <c r="L2374" s="542" t="s">
        <v>622</v>
      </c>
    </row>
    <row r="2375" spans="1:12" ht="15">
      <c r="A2375">
        <v>231537</v>
      </c>
      <c r="B2375" t="str">
        <f t="shared" si="102"/>
        <v>MSE-dorazová kefka samolepiaci  6,7x13mm</v>
      </c>
      <c r="C2375" s="209" t="e">
        <f t="shared" si="103"/>
        <v>#N/A</v>
      </c>
      <c r="D2375" t="s">
        <v>6104</v>
      </c>
      <c r="E2375" t="s">
        <v>6848</v>
      </c>
      <c r="F2375" t="s">
        <v>7346</v>
      </c>
      <c r="G2375" t="s">
        <v>7966</v>
      </c>
      <c r="H2375" s="214">
        <v>0</v>
      </c>
      <c r="I2375" s="425" t="e">
        <v>#N/A</v>
      </c>
      <c r="J2375" s="91">
        <v>1.1899</v>
      </c>
      <c r="K2375" s="425">
        <v>0</v>
      </c>
      <c r="L2375" s="542" t="s">
        <v>622</v>
      </c>
    </row>
    <row r="2376" spans="1:12" ht="15">
      <c r="A2376">
        <v>231606</v>
      </c>
      <c r="B2376" t="str">
        <f t="shared" si="102"/>
        <v>MSE-Universal 16 úchytová lišta 2,7m oli</v>
      </c>
      <c r="C2376" s="209" t="e">
        <f t="shared" si="103"/>
        <v>#N/A</v>
      </c>
      <c r="D2376" t="s">
        <v>6105</v>
      </c>
      <c r="E2376" t="s">
        <v>6849</v>
      </c>
      <c r="F2376" t="s">
        <v>7347</v>
      </c>
      <c r="G2376" t="s">
        <v>7967</v>
      </c>
      <c r="H2376" s="214">
        <v>0</v>
      </c>
      <c r="I2376" s="425" t="e">
        <v>#N/A</v>
      </c>
      <c r="J2376" s="91">
        <v>55.837789999999998</v>
      </c>
      <c r="K2376" s="425">
        <v>0</v>
      </c>
      <c r="L2376" s="542" t="s">
        <v>622</v>
      </c>
    </row>
    <row r="2377" spans="1:12" ht="15">
      <c r="A2377">
        <v>231735</v>
      </c>
      <c r="B2377" t="str">
        <f t="shared" si="102"/>
        <v>SEVROLL Gemini horné vedenie 2,35m RAL9001 m</v>
      </c>
      <c r="C2377" s="209" t="e">
        <f t="shared" si="103"/>
        <v>#N/A</v>
      </c>
      <c r="D2377" t="s">
        <v>6106</v>
      </c>
      <c r="E2377" t="s">
        <v>6850</v>
      </c>
      <c r="F2377" t="s">
        <v>7348</v>
      </c>
      <c r="G2377" t="s">
        <v>7968</v>
      </c>
      <c r="H2377" s="214">
        <v>0</v>
      </c>
      <c r="I2377" s="425" t="e">
        <v>#N/A</v>
      </c>
      <c r="J2377" s="91">
        <v>0</v>
      </c>
      <c r="K2377" s="425">
        <v>0</v>
      </c>
      <c r="L2377" s="542" t="s">
        <v>622</v>
      </c>
    </row>
    <row r="2378" spans="1:12" ht="15">
      <c r="A2378">
        <v>231738</v>
      </c>
      <c r="B2378" t="str">
        <f t="shared" si="102"/>
        <v>SEVROLL Alfa II lišta 18mm 2,70m RAL9001 mat</v>
      </c>
      <c r="C2378" s="209" t="e">
        <f t="shared" si="103"/>
        <v>#N/A</v>
      </c>
      <c r="D2378" t="s">
        <v>6107</v>
      </c>
      <c r="E2378" t="s">
        <v>6851</v>
      </c>
      <c r="F2378" t="s">
        <v>6107</v>
      </c>
      <c r="G2378" t="s">
        <v>7969</v>
      </c>
      <c r="H2378" s="214">
        <v>0</v>
      </c>
      <c r="I2378" s="425" t="e">
        <v>#N/A</v>
      </c>
      <c r="J2378" s="91">
        <v>0</v>
      </c>
      <c r="K2378" s="425">
        <v>0</v>
      </c>
      <c r="L2378" s="542" t="s">
        <v>622</v>
      </c>
    </row>
    <row r="2379" spans="1:12" ht="15">
      <c r="A2379">
        <v>230010</v>
      </c>
      <c r="B2379" t="e">
        <f t="shared" si="102"/>
        <v>#N/A</v>
      </c>
      <c r="C2379" s="209" t="e">
        <f t="shared" si="103"/>
        <v>#N/A</v>
      </c>
      <c r="D2379" t="s">
        <v>6108</v>
      </c>
      <c r="E2379" t="e">
        <v>#N/A</v>
      </c>
      <c r="F2379" t="e">
        <v>#N/A</v>
      </c>
      <c r="G2379" t="e">
        <v>#N/A</v>
      </c>
      <c r="H2379" s="214">
        <v>573.64935000000003</v>
      </c>
      <c r="I2379" s="425" t="e">
        <v>#N/A</v>
      </c>
      <c r="J2379" s="91">
        <v>81.828620000000001</v>
      </c>
      <c r="K2379" s="425">
        <v>6568.6804899999997</v>
      </c>
      <c r="L2379" s="542" t="s">
        <v>621</v>
      </c>
    </row>
    <row r="2380" spans="1:12" ht="15">
      <c r="A2380">
        <v>230011</v>
      </c>
      <c r="B2380" t="e">
        <f t="shared" si="102"/>
        <v>#N/A</v>
      </c>
      <c r="C2380" s="209" t="e">
        <f t="shared" si="103"/>
        <v>#N/A</v>
      </c>
      <c r="D2380" t="s">
        <v>6109</v>
      </c>
      <c r="E2380" t="e">
        <v>#N/A</v>
      </c>
      <c r="F2380" t="e">
        <v>#N/A</v>
      </c>
      <c r="G2380" t="e">
        <v>#N/A</v>
      </c>
      <c r="H2380" s="214">
        <v>597.55141000000003</v>
      </c>
      <c r="I2380" s="425" t="e">
        <v>#N/A</v>
      </c>
      <c r="J2380" s="91">
        <v>85.238159999999993</v>
      </c>
      <c r="K2380" s="425">
        <v>6842.3754600000002</v>
      </c>
      <c r="L2380" s="542" t="s">
        <v>621</v>
      </c>
    </row>
    <row r="2381" spans="1:12" ht="15">
      <c r="A2381">
        <v>230013</v>
      </c>
      <c r="B2381" t="e">
        <f t="shared" si="102"/>
        <v>#N/A</v>
      </c>
      <c r="C2381" s="209" t="e">
        <f t="shared" si="103"/>
        <v>#N/A</v>
      </c>
      <c r="D2381" t="s">
        <v>6110</v>
      </c>
      <c r="E2381" t="e">
        <v>#N/A</v>
      </c>
      <c r="F2381" t="e">
        <v>#N/A</v>
      </c>
      <c r="G2381" t="e">
        <v>#N/A</v>
      </c>
      <c r="H2381" s="214">
        <v>771.49067000000002</v>
      </c>
      <c r="I2381" s="425" t="e">
        <v>#N/A</v>
      </c>
      <c r="J2381" s="91">
        <v>110.059</v>
      </c>
      <c r="K2381" s="425">
        <v>8834.1001799999995</v>
      </c>
      <c r="L2381" s="542" t="s">
        <v>621</v>
      </c>
    </row>
    <row r="2382" spans="1:12" ht="15">
      <c r="A2382">
        <v>230037</v>
      </c>
      <c r="B2382" t="e">
        <f t="shared" si="102"/>
        <v>#N/A</v>
      </c>
      <c r="C2382" s="209" t="e">
        <f t="shared" si="103"/>
        <v>#N/A</v>
      </c>
      <c r="D2382" t="s">
        <v>6111</v>
      </c>
      <c r="E2382" t="e">
        <v>#N/A</v>
      </c>
      <c r="F2382" t="e">
        <v>#N/A</v>
      </c>
      <c r="G2382" t="e">
        <v>#N/A</v>
      </c>
      <c r="H2382" s="214">
        <v>783.98743999999999</v>
      </c>
      <c r="I2382" s="425" t="e">
        <v>#N/A</v>
      </c>
      <c r="J2382" s="91">
        <v>111.83246</v>
      </c>
      <c r="K2382" s="425">
        <v>8977.1966100000009</v>
      </c>
      <c r="L2382" s="542" t="s">
        <v>621</v>
      </c>
    </row>
    <row r="2383" spans="1:12" ht="15">
      <c r="A2383">
        <v>230041</v>
      </c>
      <c r="B2383" t="e">
        <f t="shared" si="102"/>
        <v>#N/A</v>
      </c>
      <c r="C2383" s="209" t="e">
        <f t="shared" si="103"/>
        <v>#N/A</v>
      </c>
      <c r="D2383" t="s">
        <v>6112</v>
      </c>
      <c r="E2383" t="e">
        <v>#N/A</v>
      </c>
      <c r="F2383" t="e">
        <v>#N/A</v>
      </c>
      <c r="G2383" t="e">
        <v>#N/A</v>
      </c>
      <c r="H2383" s="214">
        <v>527.75681999999995</v>
      </c>
      <c r="I2383" s="425" t="e">
        <v>#N/A</v>
      </c>
      <c r="J2383" s="91">
        <v>75.282259999999994</v>
      </c>
      <c r="K2383" s="425">
        <v>6043.1792800000003</v>
      </c>
      <c r="L2383" s="542" t="s">
        <v>621</v>
      </c>
    </row>
    <row r="2384" spans="1:12" ht="15">
      <c r="A2384">
        <v>230043</v>
      </c>
      <c r="B2384" t="e">
        <f t="shared" si="102"/>
        <v>#N/A</v>
      </c>
      <c r="C2384" s="209" t="e">
        <f t="shared" si="103"/>
        <v>#N/A</v>
      </c>
      <c r="D2384" t="s">
        <v>6113</v>
      </c>
      <c r="E2384" t="e">
        <v>#N/A</v>
      </c>
      <c r="F2384" t="e">
        <v>#N/A</v>
      </c>
      <c r="G2384" t="e">
        <v>#N/A</v>
      </c>
      <c r="H2384" s="214">
        <v>780.16135999999995</v>
      </c>
      <c r="I2384" s="425" t="e">
        <v>#N/A</v>
      </c>
      <c r="J2384" s="91">
        <v>111.28668999999999</v>
      </c>
      <c r="K2384" s="425">
        <v>8933.3854900000006</v>
      </c>
      <c r="L2384" s="542" t="s">
        <v>621</v>
      </c>
    </row>
    <row r="2385" spans="1:12" ht="15">
      <c r="A2385">
        <v>230044</v>
      </c>
      <c r="B2385" t="e">
        <f t="shared" si="102"/>
        <v>#N/A</v>
      </c>
      <c r="C2385" s="209" t="e">
        <f t="shared" si="103"/>
        <v>#N/A</v>
      </c>
      <c r="D2385" t="s">
        <v>6114</v>
      </c>
      <c r="E2385" t="e">
        <v>#N/A</v>
      </c>
      <c r="F2385" t="e">
        <v>#N/A</v>
      </c>
      <c r="G2385" t="e">
        <v>#N/A</v>
      </c>
      <c r="H2385" s="214">
        <v>1089.9337800000001</v>
      </c>
      <c r="I2385" s="425" t="e">
        <v>#N/A</v>
      </c>
      <c r="J2385" s="91">
        <v>155.47438</v>
      </c>
      <c r="K2385" s="425">
        <v>12480.493179999999</v>
      </c>
      <c r="L2385" s="542" t="s">
        <v>621</v>
      </c>
    </row>
    <row r="2386" spans="1:12" ht="15">
      <c r="A2386">
        <v>230046</v>
      </c>
      <c r="B2386" t="e">
        <f t="shared" si="102"/>
        <v>#N/A</v>
      </c>
      <c r="C2386" s="209" t="e">
        <f t="shared" si="103"/>
        <v>#N/A</v>
      </c>
      <c r="D2386" t="s">
        <v>6115</v>
      </c>
      <c r="E2386" t="e">
        <v>#N/A</v>
      </c>
      <c r="F2386" t="e">
        <v>#N/A</v>
      </c>
      <c r="G2386" t="e">
        <v>#N/A</v>
      </c>
      <c r="H2386" s="214">
        <v>696.98571000000004</v>
      </c>
      <c r="I2386" s="425" t="e">
        <v>#N/A</v>
      </c>
      <c r="J2386" s="91">
        <v>99.422039999999996</v>
      </c>
      <c r="K2386" s="425">
        <v>7980.9667600000002</v>
      </c>
      <c r="L2386" s="542" t="s">
        <v>621</v>
      </c>
    </row>
    <row r="2387" spans="1:12" ht="15">
      <c r="A2387">
        <v>230053</v>
      </c>
      <c r="B2387" t="e">
        <f t="shared" si="102"/>
        <v>#N/A</v>
      </c>
      <c r="C2387" s="209" t="e">
        <f t="shared" si="103"/>
        <v>#N/A</v>
      </c>
      <c r="D2387" t="s">
        <v>6116</v>
      </c>
      <c r="E2387" t="e">
        <v>#N/A</v>
      </c>
      <c r="F2387" t="e">
        <v>#N/A</v>
      </c>
      <c r="G2387" t="e">
        <v>#N/A</v>
      </c>
      <c r="H2387" s="214">
        <v>443.62391000000002</v>
      </c>
      <c r="I2387" s="425" t="e">
        <v>#N/A</v>
      </c>
      <c r="J2387" s="91">
        <v>63.281039999999997</v>
      </c>
      <c r="K2387" s="425">
        <v>5079.7996400000002</v>
      </c>
      <c r="L2387" s="542" t="s">
        <v>621</v>
      </c>
    </row>
    <row r="2388" spans="1:12" ht="15">
      <c r="A2388">
        <v>269770</v>
      </c>
      <c r="B2388" t="e">
        <f t="shared" si="102"/>
        <v>#N/A</v>
      </c>
      <c r="C2388" s="209" t="e">
        <f t="shared" si="103"/>
        <v>#N/A</v>
      </c>
      <c r="D2388" t="s">
        <v>6117</v>
      </c>
      <c r="E2388" t="e">
        <v>#N/A</v>
      </c>
      <c r="F2388" t="e">
        <v>#N/A</v>
      </c>
      <c r="G2388" t="e">
        <v>#N/A</v>
      </c>
      <c r="H2388" s="214">
        <v>2243.96</v>
      </c>
      <c r="I2388" s="425" t="e">
        <v>#N/A</v>
      </c>
      <c r="J2388" s="91">
        <v>0</v>
      </c>
      <c r="K2388" s="425">
        <v>0</v>
      </c>
      <c r="L2388" s="542" t="s">
        <v>624</v>
      </c>
    </row>
    <row r="2389" spans="1:12" ht="15">
      <c r="A2389">
        <v>269805</v>
      </c>
      <c r="B2389" t="e">
        <f t="shared" si="102"/>
        <v>#N/A</v>
      </c>
      <c r="C2389" s="209" t="e">
        <f t="shared" si="103"/>
        <v>#N/A</v>
      </c>
      <c r="D2389" t="s">
        <v>6118</v>
      </c>
      <c r="E2389" t="e">
        <v>#N/A</v>
      </c>
      <c r="F2389" t="e">
        <v>#N/A</v>
      </c>
      <c r="G2389" t="e">
        <v>#N/A</v>
      </c>
      <c r="H2389" s="214">
        <v>2302.67</v>
      </c>
      <c r="I2389" s="425" t="e">
        <v>#N/A</v>
      </c>
      <c r="J2389" s="91">
        <v>0</v>
      </c>
      <c r="K2389" s="425">
        <v>0</v>
      </c>
      <c r="L2389" s="542" t="s">
        <v>624</v>
      </c>
    </row>
    <row r="2390" spans="1:12" ht="15">
      <c r="A2390">
        <v>269831</v>
      </c>
      <c r="B2390" t="e">
        <f t="shared" si="102"/>
        <v>#N/A</v>
      </c>
      <c r="C2390" s="209" t="e">
        <f t="shared" si="103"/>
        <v>#N/A</v>
      </c>
      <c r="D2390" t="s">
        <v>6119</v>
      </c>
      <c r="E2390" t="e">
        <v>#N/A</v>
      </c>
      <c r="F2390" t="e">
        <v>#N/A</v>
      </c>
      <c r="G2390" t="e">
        <v>#N/A</v>
      </c>
      <c r="H2390" s="214">
        <v>0</v>
      </c>
      <c r="I2390" s="425" t="e">
        <v>#N/A</v>
      </c>
      <c r="J2390" s="91">
        <v>0</v>
      </c>
      <c r="K2390" s="425">
        <v>0</v>
      </c>
      <c r="L2390" s="542" t="s">
        <v>624</v>
      </c>
    </row>
    <row r="2391" spans="1:12" ht="15">
      <c r="A2391">
        <v>269889</v>
      </c>
      <c r="B2391" t="e">
        <f t="shared" ref="B2391:B2411" si="104">IF($A$2=1,D2391,IF($A$2=2,F2391,IF($A$2=3,G2391,IF($A$2=4,E2391,"zadat jazyk"))))</f>
        <v>#N/A</v>
      </c>
      <c r="C2391" s="209" t="e">
        <f t="shared" ref="C2391:C2411" si="105">IF($A$2=1,H2391,IF($A$2=2,I2391,IF($A$2=3,J2391,IF($A$2=4,K2391,"zadat jazyk"))))</f>
        <v>#N/A</v>
      </c>
      <c r="D2391" t="s">
        <v>6120</v>
      </c>
      <c r="E2391" t="e">
        <v>#N/A</v>
      </c>
      <c r="F2391" t="e">
        <v>#N/A</v>
      </c>
      <c r="G2391" t="e">
        <v>#N/A</v>
      </c>
      <c r="H2391" s="214">
        <v>116.72499999999999</v>
      </c>
      <c r="I2391" s="425" t="e">
        <v>#N/A</v>
      </c>
      <c r="J2391" s="91">
        <v>26.317679999999999</v>
      </c>
      <c r="K2391" s="425">
        <v>2243.3061400000001</v>
      </c>
      <c r="L2391" s="542" t="s">
        <v>622</v>
      </c>
    </row>
    <row r="2392" spans="1:12" ht="15">
      <c r="A2392">
        <v>269890</v>
      </c>
      <c r="B2392" t="e">
        <f t="shared" si="104"/>
        <v>#N/A</v>
      </c>
      <c r="C2392" s="209" t="e">
        <f t="shared" si="105"/>
        <v>#N/A</v>
      </c>
      <c r="D2392" t="s">
        <v>6121</v>
      </c>
      <c r="E2392" t="e">
        <v>#N/A</v>
      </c>
      <c r="F2392" t="e">
        <v>#N/A</v>
      </c>
      <c r="G2392" t="e">
        <v>#N/A</v>
      </c>
      <c r="H2392" s="214">
        <v>444.85</v>
      </c>
      <c r="I2392" s="425" t="e">
        <v>#N/A</v>
      </c>
      <c r="J2392" s="91">
        <v>100.29918000000001</v>
      </c>
      <c r="K2392" s="425">
        <v>8549.45183</v>
      </c>
      <c r="L2392" s="542" t="s">
        <v>622</v>
      </c>
    </row>
    <row r="2393" spans="1:12" ht="15">
      <c r="A2393">
        <v>269891</v>
      </c>
      <c r="B2393" t="e">
        <f t="shared" si="104"/>
        <v>#N/A</v>
      </c>
      <c r="C2393" s="209" t="e">
        <f t="shared" si="105"/>
        <v>#N/A</v>
      </c>
      <c r="D2393" t="s">
        <v>6122</v>
      </c>
      <c r="E2393" t="e">
        <v>#N/A</v>
      </c>
      <c r="F2393" t="e">
        <v>#N/A</v>
      </c>
      <c r="G2393" t="e">
        <v>#N/A</v>
      </c>
      <c r="H2393" s="214">
        <v>169.83750000000001</v>
      </c>
      <c r="I2393" s="425" t="e">
        <v>#N/A</v>
      </c>
      <c r="J2393" s="91">
        <v>38.292819999999999</v>
      </c>
      <c r="K2393" s="425">
        <v>3264.06104</v>
      </c>
      <c r="L2393" s="542" t="s">
        <v>622</v>
      </c>
    </row>
    <row r="2394" spans="1:12" ht="15">
      <c r="A2394">
        <v>269892</v>
      </c>
      <c r="B2394" t="e">
        <f t="shared" si="104"/>
        <v>#N/A</v>
      </c>
      <c r="C2394" s="209" t="e">
        <f t="shared" si="105"/>
        <v>#N/A</v>
      </c>
      <c r="D2394" t="s">
        <v>6123</v>
      </c>
      <c r="E2394" t="e">
        <v>#N/A</v>
      </c>
      <c r="F2394" t="e">
        <v>#N/A</v>
      </c>
      <c r="G2394" t="e">
        <v>#N/A</v>
      </c>
      <c r="H2394" s="214">
        <v>102.02500000000001</v>
      </c>
      <c r="I2394" s="425" t="e">
        <v>#N/A</v>
      </c>
      <c r="J2394" s="91">
        <v>23.003299999999999</v>
      </c>
      <c r="K2394" s="425">
        <v>1960.7909</v>
      </c>
      <c r="L2394" s="542" t="s">
        <v>622</v>
      </c>
    </row>
    <row r="2395" spans="1:12" ht="15">
      <c r="A2395">
        <v>269893</v>
      </c>
      <c r="B2395" t="e">
        <f t="shared" si="104"/>
        <v>#N/A</v>
      </c>
      <c r="C2395" s="209" t="e">
        <f t="shared" si="105"/>
        <v>#N/A</v>
      </c>
      <c r="D2395" t="s">
        <v>6124</v>
      </c>
      <c r="E2395" t="e">
        <v>#N/A</v>
      </c>
      <c r="F2395" t="e">
        <v>#N/A</v>
      </c>
      <c r="G2395" t="e">
        <v>#N/A</v>
      </c>
      <c r="H2395" s="214">
        <v>100.625</v>
      </c>
      <c r="I2395" s="425" t="e">
        <v>#N/A</v>
      </c>
      <c r="J2395" s="91">
        <v>22.687660000000001</v>
      </c>
      <c r="K2395" s="425">
        <v>1933.8847699999999</v>
      </c>
      <c r="L2395" s="542" t="s">
        <v>622</v>
      </c>
    </row>
    <row r="2396" spans="1:12" ht="15">
      <c r="A2396">
        <v>269894</v>
      </c>
      <c r="B2396" t="e">
        <f t="shared" si="104"/>
        <v>#N/A</v>
      </c>
      <c r="C2396" s="209" t="e">
        <f t="shared" si="105"/>
        <v>#N/A</v>
      </c>
      <c r="D2396" t="s">
        <v>6125</v>
      </c>
      <c r="E2396" t="e">
        <v>#N/A</v>
      </c>
      <c r="F2396" t="e">
        <v>#N/A</v>
      </c>
      <c r="G2396" t="e">
        <v>#N/A</v>
      </c>
      <c r="H2396" s="214">
        <v>185.58750000000001</v>
      </c>
      <c r="I2396" s="425" t="e">
        <v>#N/A</v>
      </c>
      <c r="J2396" s="91">
        <v>41.84393</v>
      </c>
      <c r="K2396" s="425">
        <v>3566.75603</v>
      </c>
      <c r="L2396" s="542" t="s">
        <v>622</v>
      </c>
    </row>
    <row r="2397" spans="1:12" ht="15">
      <c r="A2397">
        <v>269922</v>
      </c>
      <c r="B2397" t="e">
        <f t="shared" si="104"/>
        <v>#N/A</v>
      </c>
      <c r="C2397" s="209" t="e">
        <f t="shared" si="105"/>
        <v>#N/A</v>
      </c>
      <c r="D2397" t="s">
        <v>6126</v>
      </c>
      <c r="E2397" t="e">
        <v>#N/A</v>
      </c>
      <c r="F2397" t="e">
        <v>#N/A</v>
      </c>
      <c r="G2397" t="e">
        <v>#N/A</v>
      </c>
      <c r="H2397" s="214">
        <v>1705.6140800000001</v>
      </c>
      <c r="I2397" s="425" t="e">
        <v>#N/A</v>
      </c>
      <c r="J2397" s="91">
        <v>207.03890000000001</v>
      </c>
      <c r="K2397" s="425">
        <v>18583.535909999999</v>
      </c>
      <c r="L2397" s="542" t="s">
        <v>622</v>
      </c>
    </row>
    <row r="2398" spans="1:12" ht="15">
      <c r="A2398">
        <v>352544</v>
      </c>
      <c r="B2398" t="e">
        <f t="shared" si="104"/>
        <v>#N/A</v>
      </c>
      <c r="C2398" s="209" t="e">
        <f t="shared" si="105"/>
        <v>#N/A</v>
      </c>
      <c r="D2398" t="s">
        <v>6127</v>
      </c>
      <c r="E2398" t="e">
        <v>#N/A</v>
      </c>
      <c r="F2398" t="e">
        <v>#N/A</v>
      </c>
      <c r="G2398" t="e">
        <v>#N/A</v>
      </c>
      <c r="H2398" s="214">
        <v>0</v>
      </c>
      <c r="I2398" s="425" t="e">
        <v>#N/A</v>
      </c>
      <c r="J2398" s="91">
        <v>0</v>
      </c>
      <c r="K2398" s="425">
        <v>0</v>
      </c>
      <c r="L2398" s="542" t="s">
        <v>622</v>
      </c>
    </row>
    <row r="2399" spans="1:12" ht="15">
      <c r="A2399">
        <v>352545</v>
      </c>
      <c r="B2399" t="e">
        <f t="shared" si="104"/>
        <v>#N/A</v>
      </c>
      <c r="C2399" s="209" t="e">
        <f t="shared" si="105"/>
        <v>#N/A</v>
      </c>
      <c r="D2399" t="s">
        <v>6128</v>
      </c>
      <c r="E2399" t="e">
        <v>#N/A</v>
      </c>
      <c r="F2399" t="e">
        <v>#N/A</v>
      </c>
      <c r="G2399" t="e">
        <v>#N/A</v>
      </c>
      <c r="H2399" s="214">
        <v>0</v>
      </c>
      <c r="I2399" s="425" t="e">
        <v>#N/A</v>
      </c>
      <c r="J2399" s="91">
        <v>0</v>
      </c>
      <c r="K2399" s="425">
        <v>0</v>
      </c>
      <c r="L2399" s="542" t="s">
        <v>622</v>
      </c>
    </row>
    <row r="2400" spans="1:12" ht="15">
      <c r="A2400">
        <v>352546</v>
      </c>
      <c r="B2400" t="e">
        <f t="shared" si="104"/>
        <v>#N/A</v>
      </c>
      <c r="C2400" s="209" t="e">
        <f t="shared" si="105"/>
        <v>#N/A</v>
      </c>
      <c r="D2400" t="s">
        <v>6129</v>
      </c>
      <c r="E2400" t="e">
        <v>#N/A</v>
      </c>
      <c r="F2400" t="e">
        <v>#N/A</v>
      </c>
      <c r="G2400" t="e">
        <v>#N/A</v>
      </c>
      <c r="H2400" s="214">
        <v>0</v>
      </c>
      <c r="I2400" s="425" t="e">
        <v>#N/A</v>
      </c>
      <c r="J2400" s="91">
        <v>0</v>
      </c>
      <c r="K2400" s="425">
        <v>0</v>
      </c>
      <c r="L2400" s="542" t="s">
        <v>622</v>
      </c>
    </row>
    <row r="2401" spans="1:12" ht="15">
      <c r="A2401">
        <v>132331</v>
      </c>
      <c r="B2401" t="e">
        <f t="shared" si="104"/>
        <v>#N/A</v>
      </c>
      <c r="C2401" s="209" t="e">
        <f t="shared" si="105"/>
        <v>#N/A</v>
      </c>
      <c r="D2401" t="s">
        <v>6130</v>
      </c>
      <c r="E2401" t="e">
        <v>#N/A</v>
      </c>
      <c r="F2401" t="e">
        <v>#N/A</v>
      </c>
      <c r="G2401" t="e">
        <v>#N/A</v>
      </c>
      <c r="H2401" s="214">
        <v>1579.2603799999999</v>
      </c>
      <c r="I2401" s="425" t="e">
        <v>#N/A</v>
      </c>
      <c r="J2401" s="91">
        <v>353.21460000000002</v>
      </c>
      <c r="K2401" s="425">
        <v>28232.527620000001</v>
      </c>
      <c r="L2401" s="542" t="s">
        <v>622</v>
      </c>
    </row>
    <row r="2402" spans="1:12" ht="15">
      <c r="A2402">
        <v>133570</v>
      </c>
      <c r="B2402" t="str">
        <f t="shared" si="104"/>
        <v>SEVROLL Wilson držiak tyče</v>
      </c>
      <c r="C2402" s="209">
        <f t="shared" si="105"/>
        <v>0</v>
      </c>
      <c r="D2402" t="s">
        <v>6131</v>
      </c>
      <c r="E2402" t="s">
        <v>6852</v>
      </c>
      <c r="F2402" t="s">
        <v>7349</v>
      </c>
      <c r="G2402" t="s">
        <v>7970</v>
      </c>
      <c r="H2402" s="214">
        <v>0</v>
      </c>
      <c r="I2402" s="425">
        <v>0</v>
      </c>
      <c r="J2402" s="91">
        <v>7.7138499999999999</v>
      </c>
      <c r="K2402" s="425">
        <v>0</v>
      </c>
      <c r="L2402" s="542" t="s">
        <v>622</v>
      </c>
    </row>
    <row r="2403" spans="1:12" ht="15">
      <c r="A2403">
        <v>133547</v>
      </c>
      <c r="B2403" t="str">
        <f t="shared" si="104"/>
        <v>SEVROLL WIL.NOSNÍK 2,108M STr.</v>
      </c>
      <c r="C2403" s="209">
        <f t="shared" si="105"/>
        <v>16.752279999999999</v>
      </c>
      <c r="D2403" t="s">
        <v>6132</v>
      </c>
      <c r="E2403" t="s">
        <v>6853</v>
      </c>
      <c r="F2403" t="s">
        <v>7350</v>
      </c>
      <c r="G2403" t="s">
        <v>7971</v>
      </c>
      <c r="H2403" s="214">
        <v>436.34046000000001</v>
      </c>
      <c r="I2403" s="425">
        <v>16.752279999999999</v>
      </c>
      <c r="J2403" s="91">
        <v>57.02</v>
      </c>
      <c r="K2403" s="425">
        <v>5467.0773600000002</v>
      </c>
      <c r="L2403" s="542" t="s">
        <v>622</v>
      </c>
    </row>
    <row r="2404" spans="1:12" ht="15">
      <c r="A2404">
        <v>133548</v>
      </c>
      <c r="B2404" t="str">
        <f t="shared" si="104"/>
        <v>SEVROLL Wilson konzola 300mm strieborná</v>
      </c>
      <c r="C2404" s="209">
        <f t="shared" si="105"/>
        <v>4.0494700000000003</v>
      </c>
      <c r="D2404" t="s">
        <v>6133</v>
      </c>
      <c r="E2404" t="s">
        <v>6854</v>
      </c>
      <c r="F2404" t="s">
        <v>7351</v>
      </c>
      <c r="G2404" t="s">
        <v>7972</v>
      </c>
      <c r="H2404" s="214">
        <v>105.54548</v>
      </c>
      <c r="I2404" s="425">
        <v>4.0494700000000003</v>
      </c>
      <c r="J2404" s="91">
        <v>13.79</v>
      </c>
      <c r="K2404" s="425">
        <v>1322.4199000000001</v>
      </c>
      <c r="L2404" s="542" t="s">
        <v>622</v>
      </c>
    </row>
    <row r="2405" spans="1:12" ht="15">
      <c r="A2405">
        <v>133549</v>
      </c>
      <c r="B2405" t="str">
        <f t="shared" si="104"/>
        <v>SEVROLL Wilson konzola 500mm strieborná</v>
      </c>
      <c r="C2405" s="209">
        <f t="shared" si="105"/>
        <v>6.5803900000000004</v>
      </c>
      <c r="D2405" t="s">
        <v>6134</v>
      </c>
      <c r="E2405" t="s">
        <v>6855</v>
      </c>
      <c r="F2405" t="s">
        <v>7352</v>
      </c>
      <c r="G2405" t="s">
        <v>7973</v>
      </c>
      <c r="H2405" s="214">
        <v>171.18961999999999</v>
      </c>
      <c r="I2405" s="425">
        <v>6.5803900000000004</v>
      </c>
      <c r="J2405" s="91">
        <v>22.37</v>
      </c>
      <c r="K2405" s="425">
        <v>2144.90056</v>
      </c>
      <c r="L2405" s="542" t="s">
        <v>622</v>
      </c>
    </row>
    <row r="2406" spans="1:12" ht="15">
      <c r="A2406">
        <v>133553</v>
      </c>
      <c r="B2406" t="str">
        <f t="shared" si="104"/>
        <v>SEVROLL Wilson tyč priemer 25mm 1,2m strieborná</v>
      </c>
      <c r="C2406" s="209">
        <f t="shared" si="105"/>
        <v>7.3035100000000002</v>
      </c>
      <c r="D2406" t="s">
        <v>6135</v>
      </c>
      <c r="E2406" t="s">
        <v>6856</v>
      </c>
      <c r="F2406" t="s">
        <v>7353</v>
      </c>
      <c r="G2406" t="s">
        <v>7974</v>
      </c>
      <c r="H2406" s="214">
        <v>189.85315</v>
      </c>
      <c r="I2406" s="425">
        <v>7.3035100000000002</v>
      </c>
      <c r="J2406" s="91">
        <v>24.81</v>
      </c>
      <c r="K2406" s="425">
        <v>2378.7431000000001</v>
      </c>
      <c r="L2406" s="542" t="s">
        <v>622</v>
      </c>
    </row>
    <row r="2407" spans="1:12" ht="15">
      <c r="A2407">
        <v>133562</v>
      </c>
      <c r="B2407" t="str">
        <f t="shared" si="104"/>
        <v>SEVROLL Wilson montážny klip silver</v>
      </c>
      <c r="C2407" s="209">
        <f t="shared" si="105"/>
        <v>0</v>
      </c>
      <c r="D2407" t="s">
        <v>6136</v>
      </c>
      <c r="E2407" t="s">
        <v>6857</v>
      </c>
      <c r="F2407" t="s">
        <v>7354</v>
      </c>
      <c r="G2407" t="s">
        <v>7975</v>
      </c>
      <c r="H2407" s="214">
        <v>0</v>
      </c>
      <c r="I2407" s="425">
        <v>0</v>
      </c>
      <c r="J2407" s="91">
        <v>1.3623099999999999</v>
      </c>
      <c r="K2407" s="425">
        <v>0</v>
      </c>
      <c r="L2407" s="542" t="s">
        <v>622</v>
      </c>
    </row>
    <row r="2408" spans="1:12" ht="15">
      <c r="A2408">
        <v>133563</v>
      </c>
      <c r="B2408" t="str">
        <f t="shared" si="104"/>
        <v>SEVROLL WIL.ZÁSLEPKA TYČE</v>
      </c>
      <c r="C2408" s="209">
        <f t="shared" si="105"/>
        <v>1.2293000000000001</v>
      </c>
      <c r="D2408" t="s">
        <v>6137</v>
      </c>
      <c r="E2408" t="s">
        <v>6858</v>
      </c>
      <c r="F2408" t="s">
        <v>7355</v>
      </c>
      <c r="G2408" t="s">
        <v>7976</v>
      </c>
      <c r="H2408" s="214">
        <v>32.1785</v>
      </c>
      <c r="I2408" s="425">
        <v>1.2293000000000001</v>
      </c>
      <c r="J2408" s="91">
        <v>4.21</v>
      </c>
      <c r="K2408" s="425">
        <v>403.17680000000001</v>
      </c>
      <c r="L2408" s="542" t="s">
        <v>622</v>
      </c>
    </row>
    <row r="2409" spans="1:12" ht="15">
      <c r="A2409">
        <v>134686</v>
      </c>
      <c r="B2409" t="e">
        <f t="shared" si="104"/>
        <v>#N/A</v>
      </c>
      <c r="C2409" s="209" t="e">
        <f t="shared" si="105"/>
        <v>#N/A</v>
      </c>
      <c r="D2409" t="s">
        <v>5531</v>
      </c>
      <c r="E2409" t="e">
        <v>#N/A</v>
      </c>
      <c r="F2409" t="e">
        <v>#N/A</v>
      </c>
      <c r="G2409" t="e">
        <v>#N/A</v>
      </c>
      <c r="H2409" s="214">
        <v>63.875790000000002</v>
      </c>
      <c r="I2409" s="425" t="e">
        <v>#N/A</v>
      </c>
      <c r="J2409" s="91">
        <v>11.929539999999999</v>
      </c>
      <c r="K2409" s="425">
        <v>932.84892000000002</v>
      </c>
      <c r="L2409" s="542" t="s">
        <v>622</v>
      </c>
    </row>
    <row r="2410" spans="1:12" ht="15">
      <c r="A2410">
        <v>208051</v>
      </c>
      <c r="B2410" t="str">
        <f t="shared" si="104"/>
        <v>Sevroll zakázka Marcela RAL 9016 lesk</v>
      </c>
      <c r="C2410" s="209" t="e">
        <f t="shared" si="105"/>
        <v>#N/A</v>
      </c>
      <c r="D2410" t="s">
        <v>6138</v>
      </c>
      <c r="E2410" t="s">
        <v>6859</v>
      </c>
      <c r="F2410" t="s">
        <v>6138</v>
      </c>
      <c r="G2410" t="s">
        <v>7977</v>
      </c>
      <c r="H2410" s="214">
        <v>0</v>
      </c>
      <c r="I2410" s="425" t="e">
        <v>#N/A</v>
      </c>
      <c r="J2410" s="91">
        <v>0</v>
      </c>
      <c r="K2410" s="425">
        <v>0</v>
      </c>
      <c r="L2410" s="542" t="s">
        <v>622</v>
      </c>
    </row>
    <row r="2411" spans="1:12" ht="15">
      <c r="A2411">
        <v>204725</v>
      </c>
      <c r="B2411" t="e">
        <f t="shared" si="104"/>
        <v>#N/A</v>
      </c>
      <c r="C2411" s="209" t="e">
        <f t="shared" si="105"/>
        <v>#N/A</v>
      </c>
      <c r="D2411" t="s">
        <v>6139</v>
      </c>
      <c r="E2411" t="e">
        <v>#N/A</v>
      </c>
      <c r="F2411" t="e">
        <v>#N/A</v>
      </c>
      <c r="G2411" t="e">
        <v>#N/A</v>
      </c>
      <c r="H2411" s="214">
        <v>111.1885</v>
      </c>
      <c r="I2411" s="425" t="e">
        <v>#N/A</v>
      </c>
      <c r="J2411" s="91">
        <v>24.798590000000001</v>
      </c>
      <c r="K2411" s="425">
        <v>2113.81997</v>
      </c>
      <c r="L2411" s="542" t="s">
        <v>622</v>
      </c>
    </row>
    <row r="2412" spans="1:12" ht="15">
      <c r="A2412">
        <v>204727</v>
      </c>
      <c r="B2412" t="e">
        <f t="shared" ref="B2412:B2424" si="106">IF($A$2=1,D2412,IF($A$2=2,F2412,IF($A$2=3,G2412,IF($A$2=4,E2412,"zadat jazyk"))))</f>
        <v>#N/A</v>
      </c>
      <c r="C2412" s="209" t="e">
        <f t="shared" ref="C2412:C2424" si="107">IF($A$2=1,H2412,IF($A$2=2,I2412,IF($A$2=3,J2412,IF($A$2=4,K2412,"zadat jazyk"))))</f>
        <v>#N/A</v>
      </c>
      <c r="D2412" t="s">
        <v>6140</v>
      </c>
      <c r="E2412" t="e">
        <v>#N/A</v>
      </c>
      <c r="F2412" t="e">
        <v>#N/A</v>
      </c>
      <c r="G2412" t="e">
        <v>#N/A</v>
      </c>
      <c r="H2412" s="214">
        <v>161.875</v>
      </c>
      <c r="I2412" s="425" t="e">
        <v>#N/A</v>
      </c>
      <c r="J2412" s="91">
        <v>36.497529999999998</v>
      </c>
      <c r="K2412" s="425">
        <v>3111.0319599999998</v>
      </c>
      <c r="L2412" s="542" t="s">
        <v>622</v>
      </c>
    </row>
    <row r="2413" spans="1:12" ht="15">
      <c r="A2413">
        <v>205446</v>
      </c>
      <c r="B2413" t="e">
        <f t="shared" si="106"/>
        <v>#N/A</v>
      </c>
      <c r="C2413" s="209" t="e">
        <f t="shared" si="107"/>
        <v>#N/A</v>
      </c>
      <c r="D2413" t="s">
        <v>6141</v>
      </c>
      <c r="E2413" t="e">
        <v>#N/A</v>
      </c>
      <c r="F2413" t="e">
        <v>#N/A</v>
      </c>
      <c r="G2413" t="e">
        <v>#N/A</v>
      </c>
      <c r="H2413" s="214">
        <v>12554.5</v>
      </c>
      <c r="I2413" s="425" t="e">
        <v>#N/A</v>
      </c>
      <c r="J2413" s="91">
        <v>1434.30547</v>
      </c>
      <c r="K2413" s="425">
        <v>132603.59116000001</v>
      </c>
      <c r="L2413" s="542" t="s">
        <v>622</v>
      </c>
    </row>
    <row r="2414" spans="1:12" ht="15">
      <c r="A2414">
        <v>288793</v>
      </c>
      <c r="B2414" t="e">
        <f t="shared" si="106"/>
        <v>#N/A</v>
      </c>
      <c r="C2414" s="209" t="e">
        <f t="shared" si="107"/>
        <v>#N/A</v>
      </c>
      <c r="D2414" t="s">
        <v>6142</v>
      </c>
      <c r="E2414" t="e">
        <v>#N/A</v>
      </c>
      <c r="F2414" t="e">
        <v>#N/A</v>
      </c>
      <c r="G2414" t="e">
        <v>#N/A</v>
      </c>
      <c r="H2414" s="214">
        <v>297.29354000000001</v>
      </c>
      <c r="I2414" s="425" t="e">
        <v>#N/A</v>
      </c>
      <c r="J2414" s="91">
        <v>55.520049999999998</v>
      </c>
      <c r="K2414" s="425">
        <v>4341.4813899999999</v>
      </c>
      <c r="L2414" s="542" t="s">
        <v>622</v>
      </c>
    </row>
    <row r="2415" spans="1:12" ht="15">
      <c r="A2415">
        <v>288795</v>
      </c>
      <c r="B2415" t="e">
        <f t="shared" si="106"/>
        <v>#N/A</v>
      </c>
      <c r="C2415" s="209" t="e">
        <f t="shared" si="107"/>
        <v>#N/A</v>
      </c>
      <c r="D2415" t="s">
        <v>6143</v>
      </c>
      <c r="E2415" t="e">
        <v>#N/A</v>
      </c>
      <c r="F2415" t="e">
        <v>#N/A</v>
      </c>
      <c r="G2415" t="e">
        <v>#N/A</v>
      </c>
      <c r="H2415" s="214">
        <v>192.12848</v>
      </c>
      <c r="I2415" s="425" t="e">
        <v>#N/A</v>
      </c>
      <c r="J2415" s="91">
        <v>35.880310000000001</v>
      </c>
      <c r="K2415" s="425">
        <v>2805.7192599999998</v>
      </c>
      <c r="L2415" s="542" t="s">
        <v>622</v>
      </c>
    </row>
    <row r="2416" spans="1:12" ht="15">
      <c r="A2416">
        <v>288796</v>
      </c>
      <c r="B2416" t="e">
        <f t="shared" si="106"/>
        <v>#N/A</v>
      </c>
      <c r="C2416" s="209" t="e">
        <f t="shared" si="107"/>
        <v>#N/A</v>
      </c>
      <c r="D2416" t="s">
        <v>6144</v>
      </c>
      <c r="E2416" t="e">
        <v>#N/A</v>
      </c>
      <c r="F2416" t="e">
        <v>#N/A</v>
      </c>
      <c r="G2416" t="e">
        <v>#N/A</v>
      </c>
      <c r="H2416" s="214">
        <v>46.515320000000003</v>
      </c>
      <c r="I2416" s="425" t="e">
        <v>#N/A</v>
      </c>
      <c r="J2416" s="91">
        <v>8.6868200000000009</v>
      </c>
      <c r="K2416" s="425">
        <v>679.27940000000001</v>
      </c>
      <c r="L2416" s="542" t="s">
        <v>622</v>
      </c>
    </row>
    <row r="2417" spans="1:12" ht="15">
      <c r="A2417">
        <v>288837</v>
      </c>
      <c r="B2417" t="e">
        <f t="shared" si="106"/>
        <v>#N/A</v>
      </c>
      <c r="C2417" s="209" t="e">
        <f t="shared" si="107"/>
        <v>#N/A</v>
      </c>
      <c r="D2417" t="s">
        <v>6145</v>
      </c>
      <c r="E2417" t="e">
        <v>#N/A</v>
      </c>
      <c r="F2417" t="e">
        <v>#N/A</v>
      </c>
      <c r="G2417" t="e">
        <v>#N/A</v>
      </c>
      <c r="H2417" s="214">
        <v>444.92910000000001</v>
      </c>
      <c r="I2417" s="425" t="e">
        <v>#N/A</v>
      </c>
      <c r="J2417" s="91">
        <v>83.091229999999996</v>
      </c>
      <c r="K2417" s="425">
        <v>6497.4551300000003</v>
      </c>
      <c r="L2417" s="542" t="s">
        <v>622</v>
      </c>
    </row>
    <row r="2418" spans="1:12" ht="15">
      <c r="A2418">
        <v>288839</v>
      </c>
      <c r="B2418" t="e">
        <f t="shared" si="106"/>
        <v>#N/A</v>
      </c>
      <c r="C2418" s="209" t="e">
        <f t="shared" si="107"/>
        <v>#N/A</v>
      </c>
      <c r="D2418" t="s">
        <v>6146</v>
      </c>
      <c r="E2418" t="e">
        <v>#N/A</v>
      </c>
      <c r="F2418" t="e">
        <v>#N/A</v>
      </c>
      <c r="G2418" t="e">
        <v>#N/A</v>
      </c>
      <c r="H2418" s="214">
        <v>626.94555000000003</v>
      </c>
      <c r="I2418" s="425" t="e">
        <v>#N/A</v>
      </c>
      <c r="J2418" s="91">
        <v>117.08309</v>
      </c>
      <c r="K2418" s="425">
        <v>9155.50497</v>
      </c>
      <c r="L2418" s="542" t="s">
        <v>622</v>
      </c>
    </row>
    <row r="2419" spans="1:12" ht="15">
      <c r="A2419">
        <v>289620</v>
      </c>
      <c r="B2419" t="e">
        <f t="shared" si="106"/>
        <v>#N/A</v>
      </c>
      <c r="C2419" s="209" t="e">
        <f t="shared" si="107"/>
        <v>#N/A</v>
      </c>
      <c r="D2419" t="s">
        <v>6147</v>
      </c>
      <c r="E2419" t="e">
        <v>#N/A</v>
      </c>
      <c r="F2419" t="e">
        <v>#N/A</v>
      </c>
      <c r="G2419" t="e">
        <v>#N/A</v>
      </c>
      <c r="H2419" s="214">
        <v>12648.01338</v>
      </c>
      <c r="I2419" s="425" t="e">
        <v>#N/A</v>
      </c>
      <c r="J2419" s="91">
        <v>1477.21434</v>
      </c>
      <c r="K2419" s="425">
        <v>0</v>
      </c>
      <c r="L2419" s="542" t="s">
        <v>622</v>
      </c>
    </row>
    <row r="2420" spans="1:12" ht="15">
      <c r="A2420">
        <v>120386</v>
      </c>
      <c r="B2420" t="e">
        <f t="shared" si="106"/>
        <v>#N/A</v>
      </c>
      <c r="C2420" s="209" t="e">
        <f t="shared" si="107"/>
        <v>#N/A</v>
      </c>
      <c r="D2420" t="s">
        <v>6148</v>
      </c>
      <c r="E2420" t="e">
        <v>#N/A</v>
      </c>
      <c r="F2420" t="e">
        <v>#N/A</v>
      </c>
      <c r="G2420" t="e">
        <v>#N/A</v>
      </c>
      <c r="H2420" s="214">
        <v>971.35829999999999</v>
      </c>
      <c r="I2420" s="425" t="e">
        <v>#N/A</v>
      </c>
      <c r="J2420" s="91">
        <v>217.25228999999999</v>
      </c>
      <c r="K2420" s="425">
        <v>16839.378509999999</v>
      </c>
      <c r="L2420" s="542" t="s">
        <v>622</v>
      </c>
    </row>
    <row r="2421" spans="1:12" ht="15">
      <c r="A2421">
        <v>203925</v>
      </c>
      <c r="B2421" t="str">
        <f t="shared" si="106"/>
        <v>SEVROLL Wilson A - kompletná sada políc</v>
      </c>
      <c r="C2421" s="209">
        <f t="shared" si="107"/>
        <v>79.462140000000005</v>
      </c>
      <c r="D2421" t="s">
        <v>6149</v>
      </c>
      <c r="E2421" t="s">
        <v>6860</v>
      </c>
      <c r="F2421" t="s">
        <v>7356</v>
      </c>
      <c r="G2421" t="s">
        <v>7978</v>
      </c>
      <c r="H2421" s="214">
        <v>0</v>
      </c>
      <c r="I2421" s="425">
        <v>79.462140000000005</v>
      </c>
      <c r="J2421" s="91">
        <v>0</v>
      </c>
      <c r="K2421" s="425">
        <v>0</v>
      </c>
      <c r="L2421" s="542" t="s">
        <v>623</v>
      </c>
    </row>
    <row r="2422" spans="1:12" ht="15">
      <c r="A2422">
        <v>203926</v>
      </c>
      <c r="B2422" t="str">
        <f t="shared" si="106"/>
        <v>SEVROLL Wilson B - kompletná sada políc</v>
      </c>
      <c r="C2422" s="209">
        <f t="shared" si="107"/>
        <v>90.577309999999997</v>
      </c>
      <c r="D2422" t="s">
        <v>6150</v>
      </c>
      <c r="E2422" t="s">
        <v>6861</v>
      </c>
      <c r="F2422" t="s">
        <v>7357</v>
      </c>
      <c r="G2422" t="s">
        <v>7979</v>
      </c>
      <c r="H2422" s="214">
        <v>0</v>
      </c>
      <c r="I2422" s="425">
        <v>90.577309999999997</v>
      </c>
      <c r="J2422" s="91">
        <v>0</v>
      </c>
      <c r="K2422" s="425">
        <v>0</v>
      </c>
      <c r="L2422" s="542" t="s">
        <v>623</v>
      </c>
    </row>
    <row r="2423" spans="1:12" ht="15">
      <c r="A2423">
        <v>203927</v>
      </c>
      <c r="B2423" t="str">
        <f t="shared" si="106"/>
        <v>SEVROLL Wilson C - kompletná sada políc</v>
      </c>
      <c r="C2423" s="209">
        <f t="shared" si="107"/>
        <v>146.72027</v>
      </c>
      <c r="D2423" t="s">
        <v>6151</v>
      </c>
      <c r="E2423" t="s">
        <v>6862</v>
      </c>
      <c r="F2423" t="s">
        <v>7358</v>
      </c>
      <c r="G2423" t="s">
        <v>7980</v>
      </c>
      <c r="H2423" s="214">
        <v>0</v>
      </c>
      <c r="I2423" s="425">
        <v>146.72027</v>
      </c>
      <c r="J2423" s="91">
        <v>0</v>
      </c>
      <c r="K2423" s="425">
        <v>0</v>
      </c>
      <c r="L2423" s="542" t="s">
        <v>623</v>
      </c>
    </row>
    <row r="2424" spans="1:12" ht="15">
      <c r="A2424">
        <v>203928</v>
      </c>
      <c r="B2424" t="str">
        <f t="shared" si="106"/>
        <v>SEVROLL Wilson D - kompletná sada políc</v>
      </c>
      <c r="C2424" s="209">
        <f t="shared" si="107"/>
        <v>180.95045999999999</v>
      </c>
      <c r="D2424" t="s">
        <v>6152</v>
      </c>
      <c r="E2424" t="s">
        <v>6863</v>
      </c>
      <c r="F2424" t="s">
        <v>7359</v>
      </c>
      <c r="G2424" t="s">
        <v>7981</v>
      </c>
      <c r="H2424" s="214">
        <v>0</v>
      </c>
      <c r="I2424" s="425">
        <v>180.95045999999999</v>
      </c>
      <c r="J2424" s="91">
        <v>0</v>
      </c>
      <c r="K2424" s="425">
        <v>0</v>
      </c>
      <c r="L2424" s="542" t="s">
        <v>623</v>
      </c>
    </row>
    <row r="2425" spans="1:12" ht="15">
      <c r="A2425">
        <v>203930</v>
      </c>
      <c r="B2425" t="str">
        <f t="shared" ref="B2425:B2436" si="108">IF($A$2=1,D2425,IF($A$2=2,F2425,IF($A$2=3,G2425,IF($A$2=4,E2425,"zadat jazyk"))))</f>
        <v>SEVROLL Wilson E - kompletná sada políc</v>
      </c>
      <c r="C2425" s="209">
        <f t="shared" ref="C2425:C2436" si="109">IF($A$2=1,H2425,IF($A$2=2,I2425,IF($A$2=3,J2425,IF($A$2=4,K2425,"zadat jazyk"))))</f>
        <v>68.12012</v>
      </c>
      <c r="D2425" t="s">
        <v>6153</v>
      </c>
      <c r="E2425" t="s">
        <v>6864</v>
      </c>
      <c r="F2425" t="s">
        <v>7360</v>
      </c>
      <c r="G2425" t="s">
        <v>7982</v>
      </c>
      <c r="H2425" s="214">
        <v>0</v>
      </c>
      <c r="I2425" s="425">
        <v>68.12012</v>
      </c>
      <c r="J2425" s="91">
        <v>0</v>
      </c>
      <c r="K2425" s="425">
        <v>0</v>
      </c>
      <c r="L2425" s="542" t="s">
        <v>623</v>
      </c>
    </row>
    <row r="2426" spans="1:12" ht="15">
      <c r="A2426">
        <v>203931</v>
      </c>
      <c r="B2426" t="str">
        <f t="shared" si="108"/>
        <v>SEVROLL Wilson F - kompletná sada políc</v>
      </c>
      <c r="C2426" s="209">
        <f t="shared" si="109"/>
        <v>102.16884</v>
      </c>
      <c r="D2426" t="s">
        <v>6154</v>
      </c>
      <c r="E2426" t="s">
        <v>6865</v>
      </c>
      <c r="F2426" t="s">
        <v>7361</v>
      </c>
      <c r="G2426" t="s">
        <v>7983</v>
      </c>
      <c r="H2426" s="214">
        <v>0</v>
      </c>
      <c r="I2426" s="425">
        <v>102.16884</v>
      </c>
      <c r="J2426" s="91">
        <v>0</v>
      </c>
      <c r="K2426" s="425">
        <v>0</v>
      </c>
      <c r="L2426" s="542" t="s">
        <v>623</v>
      </c>
    </row>
    <row r="2427" spans="1:12" ht="15">
      <c r="A2427">
        <v>204229</v>
      </c>
      <c r="B2427" t="e">
        <f t="shared" si="108"/>
        <v>#N/A</v>
      </c>
      <c r="C2427" s="209" t="e">
        <f t="shared" si="109"/>
        <v>#N/A</v>
      </c>
      <c r="D2427" t="s">
        <v>6155</v>
      </c>
      <c r="E2427" t="e">
        <v>#N/A</v>
      </c>
      <c r="F2427" t="e">
        <v>#N/A</v>
      </c>
      <c r="G2427" t="e">
        <v>#N/A</v>
      </c>
      <c r="H2427" s="214">
        <v>0</v>
      </c>
      <c r="I2427" s="425" t="e">
        <v>#N/A</v>
      </c>
      <c r="J2427" s="91">
        <v>0</v>
      </c>
      <c r="K2427" s="425">
        <v>0</v>
      </c>
      <c r="L2427" s="542" t="s">
        <v>622</v>
      </c>
    </row>
    <row r="2428" spans="1:12" ht="15">
      <c r="A2428">
        <v>92113</v>
      </c>
      <c r="B2428" t="e">
        <f t="shared" si="108"/>
        <v>#N/A</v>
      </c>
      <c r="C2428" s="209" t="e">
        <f t="shared" si="109"/>
        <v>#N/A</v>
      </c>
      <c r="D2428" t="s">
        <v>6156</v>
      </c>
      <c r="E2428" t="e">
        <v>#N/A</v>
      </c>
      <c r="F2428" t="e">
        <v>#N/A</v>
      </c>
      <c r="G2428" t="e">
        <v>#N/A</v>
      </c>
      <c r="H2428" s="214">
        <v>340.50015000000002</v>
      </c>
      <c r="I2428" s="425" t="e">
        <v>#N/A</v>
      </c>
      <c r="J2428" s="91">
        <v>26.107949999999999</v>
      </c>
      <c r="K2428" s="425">
        <v>2175.7514099999999</v>
      </c>
      <c r="L2428" s="542" t="s">
        <v>1025</v>
      </c>
    </row>
    <row r="2429" spans="1:12" ht="15">
      <c r="A2429">
        <v>92114</v>
      </c>
      <c r="B2429" t="e">
        <f t="shared" si="108"/>
        <v>#N/A</v>
      </c>
      <c r="C2429" s="209" t="e">
        <f t="shared" si="109"/>
        <v>#N/A</v>
      </c>
      <c r="D2429" t="s">
        <v>6157</v>
      </c>
      <c r="E2429" t="e">
        <v>#N/A</v>
      </c>
      <c r="F2429" t="e">
        <v>#N/A</v>
      </c>
      <c r="G2429" t="e">
        <v>#N/A</v>
      </c>
      <c r="H2429" s="214">
        <v>511.14433000000002</v>
      </c>
      <c r="I2429" s="425" t="e">
        <v>#N/A</v>
      </c>
      <c r="J2429" s="91">
        <v>39.192160000000001</v>
      </c>
      <c r="K2429" s="425">
        <v>3266.1453700000002</v>
      </c>
      <c r="L2429" s="542" t="s">
        <v>1025</v>
      </c>
    </row>
    <row r="2430" spans="1:12" ht="15">
      <c r="A2430">
        <v>265603</v>
      </c>
      <c r="B2430" t="e">
        <f t="shared" si="108"/>
        <v>#N/A</v>
      </c>
      <c r="C2430" s="209" t="e">
        <f t="shared" si="109"/>
        <v>#N/A</v>
      </c>
      <c r="D2430" t="s">
        <v>6158</v>
      </c>
      <c r="E2430" t="e">
        <v>#N/A</v>
      </c>
      <c r="F2430" t="e">
        <v>#N/A</v>
      </c>
      <c r="G2430" t="e">
        <v>#N/A</v>
      </c>
      <c r="H2430" s="214">
        <v>136.9375</v>
      </c>
      <c r="I2430" s="425" t="e">
        <v>#N/A</v>
      </c>
      <c r="J2430" s="91">
        <v>30.874949999999998</v>
      </c>
      <c r="K2430" s="425">
        <v>2631.76467</v>
      </c>
      <c r="L2430" s="542" t="s">
        <v>622</v>
      </c>
    </row>
    <row r="2431" spans="1:12" ht="15">
      <c r="A2431">
        <v>265604</v>
      </c>
      <c r="B2431" t="e">
        <f t="shared" si="108"/>
        <v>#N/A</v>
      </c>
      <c r="C2431" s="209" t="e">
        <f t="shared" si="109"/>
        <v>#N/A</v>
      </c>
      <c r="D2431" t="s">
        <v>6159</v>
      </c>
      <c r="E2431" t="e">
        <v>#N/A</v>
      </c>
      <c r="F2431" t="e">
        <v>#N/A</v>
      </c>
      <c r="G2431" t="e">
        <v>#N/A</v>
      </c>
      <c r="H2431" s="214">
        <v>136.9375</v>
      </c>
      <c r="I2431" s="425" t="e">
        <v>#N/A</v>
      </c>
      <c r="J2431" s="91">
        <v>30.874949999999998</v>
      </c>
      <c r="K2431" s="425">
        <v>2631.76467</v>
      </c>
      <c r="L2431" s="542" t="s">
        <v>622</v>
      </c>
    </row>
    <row r="2432" spans="1:12" ht="15">
      <c r="A2432">
        <v>265611</v>
      </c>
      <c r="B2432" t="e">
        <f t="shared" si="108"/>
        <v>#N/A</v>
      </c>
      <c r="C2432" s="209" t="e">
        <f t="shared" si="109"/>
        <v>#N/A</v>
      </c>
      <c r="D2432" t="s">
        <v>6160</v>
      </c>
      <c r="E2432" t="e">
        <v>#N/A</v>
      </c>
      <c r="F2432" t="e">
        <v>#N/A</v>
      </c>
      <c r="G2432" t="e">
        <v>#N/A</v>
      </c>
      <c r="H2432" s="214">
        <v>500.32499999999999</v>
      </c>
      <c r="I2432" s="425" t="e">
        <v>#N/A</v>
      </c>
      <c r="J2432" s="91">
        <v>112.80699</v>
      </c>
      <c r="K2432" s="425">
        <v>9615.6108100000001</v>
      </c>
      <c r="L2432" s="542" t="s">
        <v>622</v>
      </c>
    </row>
    <row r="2433" spans="1:12" ht="15">
      <c r="A2433">
        <v>265612</v>
      </c>
      <c r="B2433" t="e">
        <f t="shared" si="108"/>
        <v>#N/A</v>
      </c>
      <c r="C2433" s="209" t="e">
        <f t="shared" si="109"/>
        <v>#N/A</v>
      </c>
      <c r="D2433" t="s">
        <v>6161</v>
      </c>
      <c r="E2433" t="e">
        <v>#N/A</v>
      </c>
      <c r="F2433" t="e">
        <v>#N/A</v>
      </c>
      <c r="G2433" t="e">
        <v>#N/A</v>
      </c>
      <c r="H2433" s="214">
        <v>226.625</v>
      </c>
      <c r="I2433" s="425" t="e">
        <v>#N/A</v>
      </c>
      <c r="J2433" s="91">
        <v>51.096550000000001</v>
      </c>
      <c r="K2433" s="425">
        <v>4355.4446699999999</v>
      </c>
      <c r="L2433" s="542" t="s">
        <v>622</v>
      </c>
    </row>
    <row r="2434" spans="1:12" ht="15">
      <c r="A2434">
        <v>265613</v>
      </c>
      <c r="B2434" t="e">
        <f t="shared" si="108"/>
        <v>#N/A</v>
      </c>
      <c r="C2434" s="209" t="e">
        <f t="shared" si="109"/>
        <v>#N/A</v>
      </c>
      <c r="D2434" t="s">
        <v>6162</v>
      </c>
      <c r="E2434" t="e">
        <v>#N/A</v>
      </c>
      <c r="F2434" t="e">
        <v>#N/A</v>
      </c>
      <c r="G2434" t="e">
        <v>#N/A</v>
      </c>
      <c r="H2434" s="214">
        <v>73.5</v>
      </c>
      <c r="I2434" s="425" t="e">
        <v>#N/A</v>
      </c>
      <c r="J2434" s="91">
        <v>16.571850000000001</v>
      </c>
      <c r="K2434" s="425">
        <v>1412.5766100000001</v>
      </c>
      <c r="L2434" s="542" t="s">
        <v>622</v>
      </c>
    </row>
    <row r="2435" spans="1:12" ht="15">
      <c r="A2435">
        <v>265857</v>
      </c>
      <c r="B2435" t="e">
        <f t="shared" si="108"/>
        <v>#N/A</v>
      </c>
      <c r="C2435" s="209" t="e">
        <f t="shared" si="109"/>
        <v>#N/A</v>
      </c>
      <c r="D2435" t="s">
        <v>6163</v>
      </c>
      <c r="E2435" t="e">
        <v>#N/A</v>
      </c>
      <c r="F2435" t="e">
        <v>#N/A</v>
      </c>
      <c r="G2435" t="e">
        <v>#N/A</v>
      </c>
      <c r="H2435" s="214">
        <v>900.59375</v>
      </c>
      <c r="I2435" s="425" t="e">
        <v>#N/A</v>
      </c>
      <c r="J2435" s="91">
        <v>203.05452</v>
      </c>
      <c r="K2435" s="425">
        <v>17308.26758</v>
      </c>
      <c r="L2435" s="542" t="s">
        <v>622</v>
      </c>
    </row>
    <row r="2436" spans="1:12" ht="15">
      <c r="A2436">
        <v>452737</v>
      </c>
      <c r="B2436" t="e">
        <f t="shared" si="108"/>
        <v>#N/A</v>
      </c>
      <c r="C2436" s="209" t="e">
        <f t="shared" si="109"/>
        <v>#N/A</v>
      </c>
      <c r="D2436" s="563" t="s">
        <v>4728</v>
      </c>
      <c r="E2436" t="e">
        <v>#N/A</v>
      </c>
      <c r="F2436" t="e">
        <v>#N/A</v>
      </c>
      <c r="G2436" t="e">
        <v>#N/A</v>
      </c>
      <c r="H2436" s="214">
        <v>1019.83</v>
      </c>
      <c r="I2436" s="425" t="e">
        <v>#N/A</v>
      </c>
      <c r="J2436" s="91">
        <v>120.12</v>
      </c>
      <c r="K2436" s="425">
        <v>1E-3</v>
      </c>
      <c r="L2436" s="542" t="s">
        <v>622</v>
      </c>
    </row>
  </sheetData>
  <autoFilter ref="A1:T944" xr:uid="{00000000-0009-0000-0000-000000000000}"/>
  <sortState xmlns:xlrd2="http://schemas.microsoft.com/office/spreadsheetml/2017/richdata2" ref="A3:N982">
    <sortCondition ref="N3:N982"/>
  </sortState>
  <conditionalFormatting sqref="A1:A1048576">
    <cfRule type="duplicateValues" dxfId="376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40.1640625" style="21" customWidth="1"/>
    <col min="2" max="2" width="15.83203125" style="21" customWidth="1"/>
    <col min="3" max="3" width="37.5" style="21" customWidth="1"/>
    <col min="4" max="7" width="14.6640625" style="21" customWidth="1"/>
    <col min="8" max="8" width="4.83203125" style="21" customWidth="1"/>
    <col min="9" max="9" width="24.83203125" style="24" customWidth="1"/>
    <col min="10" max="10" width="11.5" style="24" hidden="1" customWidth="1"/>
    <col min="11" max="11" width="11.33203125" style="24" hidden="1" customWidth="1"/>
    <col min="12" max="12" width="9.1640625" style="21" hidden="1" customWidth="1"/>
    <col min="13" max="13" width="8.1640625" style="21" hidden="1" customWidth="1"/>
    <col min="14" max="14" width="11.5" style="21" hidden="1" customWidth="1"/>
    <col min="15" max="15" width="7.1640625" style="21" hidden="1" customWidth="1"/>
    <col min="16" max="16" width="8.6640625" style="21" hidden="1" customWidth="1"/>
    <col min="17" max="17" width="7.1640625" style="21" hidden="1" customWidth="1"/>
    <col min="18" max="256" width="9.1640625" style="21" hidden="1" customWidth="1"/>
    <col min="257" max="16384" width="5.83203125" style="21" hidden="1"/>
  </cols>
  <sheetData>
    <row r="1" spans="1:22" ht="13.5" customHeight="1" thickBot="1">
      <c r="A1" s="436"/>
      <c r="B1" s="17"/>
      <c r="C1" s="17"/>
      <c r="D1" s="17"/>
      <c r="E1" s="17"/>
      <c r="F1" s="17"/>
      <c r="G1" s="24"/>
      <c r="H1" s="24"/>
      <c r="L1" s="24">
        <v>2</v>
      </c>
      <c r="M1" s="21">
        <v>-8.25</v>
      </c>
    </row>
    <row r="2" spans="1:22" ht="18.75" customHeight="1">
      <c r="A2" s="538" t="s">
        <v>1059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L2" s="24">
        <v>3</v>
      </c>
    </row>
    <row r="3" spans="1:22" ht="29" thickBot="1">
      <c r="A3" s="539" t="str">
        <f>CONCATENATE(texty!A243," ",5,".",50)</f>
        <v>katalóg kovania 2018 str. 5.50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435" t="str">
        <f>+System10!D3</f>
        <v>počet dverí:</v>
      </c>
      <c r="E3" s="435" t="str">
        <f>+System10!E3</f>
        <v>farba</v>
      </c>
      <c r="F3" s="434" t="str">
        <f>texty!B38</f>
        <v>typ spodního vedení</v>
      </c>
      <c r="G3" s="24"/>
      <c r="H3" s="24"/>
      <c r="L3" s="24"/>
    </row>
    <row r="4" spans="1:22" ht="18" customHeight="1">
      <c r="A4" s="437" t="str">
        <f>+System10!$A$4</f>
        <v>VNÚTORNÝ ROZMER SKRINE:</v>
      </c>
      <c r="B4" s="470"/>
      <c r="C4" s="470"/>
      <c r="D4" s="471">
        <v>3</v>
      </c>
      <c r="E4" s="471" t="s">
        <v>416</v>
      </c>
      <c r="F4" s="472" t="s">
        <v>2884</v>
      </c>
      <c r="G4" s="653"/>
      <c r="H4" s="653"/>
      <c r="I4" s="653"/>
      <c r="K4" s="17">
        <f>IF(C4&lt;1701,1700,IF(C4&lt;2351,2350,IF(C4&lt;3001,3000,IF(C4&lt;4051,4050,6000))))</f>
        <v>1700</v>
      </c>
      <c r="M4" s="17">
        <f>IF(C4&lt;1701,1700,IF(C4&lt;2351,2350,IF(C4&lt;3001,3000,IF(C4&lt;4051,4050,6000))))</f>
        <v>1700</v>
      </c>
      <c r="N4" s="17"/>
    </row>
    <row r="5" spans="1:22" ht="18" customHeight="1">
      <c r="A5" s="437"/>
      <c r="B5" s="649" t="str">
        <f>+System10!$B$5</f>
        <v>vypíšte týchto 5 políčok !!! Údaje v mm</v>
      </c>
      <c r="C5" s="649"/>
      <c r="D5" s="649"/>
      <c r="E5" s="649"/>
      <c r="F5" s="649"/>
      <c r="G5" s="653"/>
      <c r="H5" s="653"/>
      <c r="I5" s="653"/>
      <c r="K5" s="23" t="str">
        <f>CONCATENATE(K4,"-",E4)</f>
        <v xml:space="preserve">1700-strieborná </v>
      </c>
      <c r="M5" s="23" t="str">
        <f>CONCATENATE(M4,"-",E4,", ",F4)</f>
        <v>1700-strieborná , Elegant II</v>
      </c>
      <c r="N5" s="23"/>
    </row>
    <row r="6" spans="1:22" ht="18" customHeight="1">
      <c r="A6" s="437"/>
      <c r="B6" s="445" t="str">
        <f>IF(D4=4,texty!A227,"")</f>
        <v/>
      </c>
      <c r="D6" s="457">
        <v>2</v>
      </c>
      <c r="E6" s="17"/>
      <c r="F6" s="17"/>
      <c r="G6" s="653"/>
      <c r="H6" s="653"/>
      <c r="I6" s="653"/>
      <c r="K6" s="475"/>
      <c r="L6" s="24"/>
      <c r="R6" s="654" t="s">
        <v>646</v>
      </c>
      <c r="S6" s="654" t="s">
        <v>647</v>
      </c>
      <c r="T6" s="654" t="s">
        <v>648</v>
      </c>
      <c r="U6" s="654" t="s">
        <v>649</v>
      </c>
    </row>
    <row r="7" spans="1:22" ht="12.75" customHeight="1">
      <c r="A7" s="437" t="str">
        <f>+System10!A7</f>
        <v>krídlo dverí:</v>
      </c>
      <c r="B7" s="57">
        <f>+B4-40</f>
        <v>-40</v>
      </c>
      <c r="C7" s="59">
        <f>+((C4+(40*(D4-1)))/D4+IF(AND(D4=4,D6=2),M1,0))</f>
        <v>26.666666666666668</v>
      </c>
      <c r="D7" s="17"/>
      <c r="E7" s="17"/>
      <c r="F7" s="17"/>
      <c r="G7" s="448" t="str">
        <f>texty!$A$39</f>
        <v>V prípade použitia skla ako výplne</v>
      </c>
      <c r="H7" s="24"/>
      <c r="L7" s="24"/>
      <c r="O7" s="17">
        <f>IF(L11="jiné",M12,L11)</f>
        <v>1700</v>
      </c>
      <c r="P7" s="21" t="str">
        <f>+E4</f>
        <v xml:space="preserve">strieborná </v>
      </c>
      <c r="R7" s="654"/>
      <c r="S7" s="654"/>
      <c r="T7" s="654"/>
      <c r="U7" s="654"/>
    </row>
    <row r="8" spans="1:22" ht="12.75" customHeight="1">
      <c r="A8" s="437" t="str">
        <f>+System10!A8</f>
        <v>rozmer výplne 10 mm:</v>
      </c>
      <c r="B8" s="57">
        <f>+B7-64</f>
        <v>-104</v>
      </c>
      <c r="C8" s="59">
        <f>+C7-25</f>
        <v>1.6666666666666679</v>
      </c>
      <c r="D8" s="17"/>
      <c r="E8" s="17"/>
      <c r="F8" s="17"/>
      <c r="G8" s="448" t="str">
        <f>texty!$A$40</f>
        <v>je treba použiť bezpečnostné sklo</v>
      </c>
      <c r="H8" s="24"/>
      <c r="L8" s="24" t="s">
        <v>73</v>
      </c>
      <c r="M8" s="21" t="s">
        <v>74</v>
      </c>
      <c r="O8" s="23" t="str">
        <f>CONCATENATE(O7,"-",E4)</f>
        <v xml:space="preserve">1700-strieborná </v>
      </c>
      <c r="Q8" s="21">
        <v>1</v>
      </c>
      <c r="R8" s="476">
        <f>$C$10+5</f>
        <v>-10.333333333333332</v>
      </c>
      <c r="S8" s="21">
        <f>FLOOR(1700/R8,1)</f>
        <v>-165</v>
      </c>
      <c r="T8" s="21">
        <f>FLOOR(2350/R8,1)</f>
        <v>-228</v>
      </c>
      <c r="U8" s="21">
        <f>FLOOR(3000/R8,1)</f>
        <v>-291</v>
      </c>
    </row>
    <row r="9" spans="1:22" ht="12.75" customHeight="1">
      <c r="A9" s="437" t="str">
        <f>+System10!$A$9</f>
        <v>rozmer zrkadla / skla</v>
      </c>
      <c r="B9" s="57">
        <f>+B8</f>
        <v>-104</v>
      </c>
      <c r="C9" s="59">
        <f>+C8-4</f>
        <v>-2.3333333333333321</v>
      </c>
      <c r="D9" s="17"/>
      <c r="E9" s="17"/>
      <c r="F9" s="17"/>
      <c r="G9" s="448" t="str">
        <f>texty!$A$41</f>
        <v>alebo sklo zabezpečiť ochrannou fóliou</v>
      </c>
      <c r="H9" s="24"/>
      <c r="L9" s="477">
        <f>C10*D4</f>
        <v>-46</v>
      </c>
      <c r="M9" s="478">
        <f>(D4+1)*5</f>
        <v>20</v>
      </c>
      <c r="Q9" s="21">
        <v>2</v>
      </c>
      <c r="R9" s="476">
        <f t="shared" ref="R9:R14" si="0">R8+$C$10+5</f>
        <v>-20.666666666666664</v>
      </c>
      <c r="S9" s="21">
        <f>(1700-C10)*S17</f>
        <v>-1715.3333333333333</v>
      </c>
      <c r="T9" s="21">
        <f>(2350-C10)*T17</f>
        <v>-2365.3333333333335</v>
      </c>
      <c r="U9" s="21">
        <f>(3000-C10)*U17</f>
        <v>-3015.3333333333335</v>
      </c>
      <c r="V9" s="21" t="s">
        <v>651</v>
      </c>
    </row>
    <row r="10" spans="1:22" ht="12.75" customHeight="1">
      <c r="A10" s="437" t="str">
        <f>+System10!A10</f>
        <v>dĺžka vodiacej a krycej lišty krídla</v>
      </c>
      <c r="B10" s="57"/>
      <c r="C10" s="60">
        <f>+C7-42</f>
        <v>-15.333333333333332</v>
      </c>
      <c r="D10" s="17"/>
      <c r="E10" s="17"/>
      <c r="F10" s="17"/>
      <c r="G10" s="449"/>
      <c r="H10" s="24"/>
      <c r="L10" s="21" t="s">
        <v>72</v>
      </c>
      <c r="O10" s="17" t="str">
        <f>IF(L11="jiné",M13,"")</f>
        <v/>
      </c>
      <c r="P10" s="21" t="str">
        <f>+E4</f>
        <v xml:space="preserve">strieborná </v>
      </c>
      <c r="Q10" s="21">
        <v>3</v>
      </c>
      <c r="R10" s="476">
        <f t="shared" si="0"/>
        <v>-31</v>
      </c>
    </row>
    <row r="11" spans="1:22" ht="12.75" customHeight="1">
      <c r="A11" s="437" t="str">
        <f>+System10!A11</f>
        <v>Horný/spodný profil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L11" s="478">
        <f>IF((L9+M9)&lt;1700,1700,IF((L9+M9)&lt;2350,2350,IF((L9+M9)&lt;3000,3000,"jiné")))</f>
        <v>1700</v>
      </c>
      <c r="N11" s="21" t="s">
        <v>75</v>
      </c>
      <c r="O11" s="23" t="str">
        <f>CONCATENATE(O10,"-",E4)</f>
        <v xml:space="preserve">-strieborná </v>
      </c>
      <c r="Q11" s="21">
        <v>4</v>
      </c>
      <c r="R11" s="476">
        <f t="shared" si="0"/>
        <v>-41.333333333333329</v>
      </c>
    </row>
    <row r="12" spans="1:22" ht="12.75" customHeight="1">
      <c r="A12" s="437" t="str">
        <f>+System10!A12</f>
        <v>úchytková lišta</v>
      </c>
      <c r="B12" s="502">
        <f>+B7</f>
        <v>-40</v>
      </c>
      <c r="C12" s="503"/>
      <c r="D12" s="17"/>
      <c r="E12" s="17"/>
      <c r="F12" s="17"/>
      <c r="G12" s="24"/>
      <c r="H12" s="24"/>
      <c r="L12" s="24">
        <f>C10*(D4-1)+(D4*5)</f>
        <v>-15.666666666666664</v>
      </c>
      <c r="M12" s="21">
        <f>IF(L12&lt;1700,1700,IF(L12&lt;2350,2350,IF(L12&lt;3000,3000,3000)))</f>
        <v>1700</v>
      </c>
      <c r="N12" s="21">
        <f>M12-L12</f>
        <v>1715.6666666666667</v>
      </c>
      <c r="Q12" s="21">
        <v>5</v>
      </c>
      <c r="R12" s="476">
        <f t="shared" si="0"/>
        <v>-51.666666666666657</v>
      </c>
    </row>
    <row r="13" spans="1:22" ht="12.75" customHeight="1">
      <c r="A13" s="438" t="str">
        <f>System10!A13</f>
        <v>Dĺžka tesnenia na sklo na jednom krídle</v>
      </c>
      <c r="B13" s="65"/>
      <c r="C13" s="505">
        <f>ROUND(B9*2+C9*2,0)</f>
        <v>-213</v>
      </c>
      <c r="D13" s="17"/>
      <c r="E13" s="17"/>
      <c r="F13" s="17"/>
      <c r="G13" s="24"/>
      <c r="H13" s="24"/>
      <c r="L13" s="479">
        <f>C10+10</f>
        <v>-5.3333333333333321</v>
      </c>
      <c r="M13" s="21">
        <f>IF(N12&gt;=0,IF(L13&lt;1700,1700,IF(L13&lt;2350,2350,IF(L13&lt;3000,3000,"jiné"))),IF((L13+C10)&lt;1700,1700,IF((L13+C10)&lt;2350,2350,IF((L13+C10)&lt;3000,3000,"jiné"))))</f>
        <v>1700</v>
      </c>
      <c r="N13" s="21">
        <f>M13-L13</f>
        <v>1705.3333333333333</v>
      </c>
      <c r="Q13" s="21">
        <v>6</v>
      </c>
      <c r="R13" s="476">
        <f t="shared" si="0"/>
        <v>-61.999999999999986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L14" s="24"/>
      <c r="M14" s="21">
        <f>SUM(M12:M13)</f>
        <v>3400</v>
      </c>
      <c r="N14" s="21">
        <f>SUM(N12:N13)</f>
        <v>3421</v>
      </c>
      <c r="Q14" s="21">
        <v>7</v>
      </c>
      <c r="R14" s="476">
        <f t="shared" si="0"/>
        <v>-72.333333333333314</v>
      </c>
    </row>
    <row r="15" spans="1:22" ht="17.25" customHeight="1">
      <c r="A15" s="644"/>
      <c r="B15" s="644"/>
      <c r="C15" s="504"/>
      <c r="D15" s="17"/>
      <c r="E15" s="17"/>
      <c r="F15" s="17"/>
      <c r="G15" s="24"/>
      <c r="H15" s="24"/>
      <c r="L15" s="24"/>
      <c r="R15" s="476"/>
    </row>
    <row r="16" spans="1:22" ht="13">
      <c r="A16" s="436"/>
      <c r="B16" s="17"/>
      <c r="C16" s="504"/>
      <c r="D16" s="17"/>
      <c r="E16" s="17"/>
      <c r="F16" s="17"/>
      <c r="G16" s="24"/>
      <c r="H16" s="24"/>
      <c r="L16" s="24"/>
      <c r="R16" s="476"/>
    </row>
    <row r="17" spans="1:22" ht="12.75" customHeight="1">
      <c r="A17" s="5"/>
      <c r="B17" s="17"/>
      <c r="C17" s="447"/>
      <c r="D17" s="17"/>
      <c r="E17" s="17"/>
      <c r="F17" s="17"/>
      <c r="G17" s="24"/>
      <c r="H17" s="24"/>
      <c r="L17" s="24"/>
      <c r="M17" s="21">
        <f>M14-C4</f>
        <v>3400</v>
      </c>
      <c r="Q17" s="21" t="s">
        <v>650</v>
      </c>
      <c r="S17" s="21">
        <f>FLOOR($D$4/S8,1)</f>
        <v>-1</v>
      </c>
      <c r="T17" s="21">
        <f>FLOOR($D$4/T8,1)</f>
        <v>-1</v>
      </c>
      <c r="U17" s="21">
        <f>FLOOR($D$4/U8,1)</f>
        <v>-1</v>
      </c>
    </row>
    <row r="18" spans="1:22" ht="12.75" customHeight="1">
      <c r="A18" s="436"/>
      <c r="B18" s="17"/>
      <c r="C18" s="447"/>
      <c r="D18" s="17"/>
      <c r="E18" s="17"/>
      <c r="F18" s="17"/>
      <c r="G18" s="24"/>
      <c r="H18" s="24"/>
      <c r="L18" s="24"/>
    </row>
    <row r="19" spans="1:22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24"/>
    </row>
    <row r="20" spans="1:22" ht="16.5" customHeight="1">
      <c r="A20" s="436"/>
      <c r="B20" s="17"/>
      <c r="C20" s="17"/>
      <c r="E20" s="17"/>
      <c r="F20" s="17"/>
      <c r="G20" s="24"/>
      <c r="H20" s="24"/>
      <c r="I20" s="647"/>
      <c r="L20" s="24"/>
      <c r="M20" s="24"/>
      <c r="R20" s="21" t="s">
        <v>694</v>
      </c>
      <c r="S20" s="21" t="s">
        <v>693</v>
      </c>
      <c r="T20" s="21">
        <v>1700</v>
      </c>
      <c r="U20" s="21">
        <v>2350</v>
      </c>
      <c r="V20" s="21">
        <v>3000</v>
      </c>
    </row>
    <row r="21" spans="1:22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24"/>
      <c r="Q21" s="21">
        <v>1</v>
      </c>
      <c r="R21" s="21">
        <f>S8</f>
        <v>-165</v>
      </c>
      <c r="S21" s="21" t="str">
        <f>IF(R21&gt;=D4,1,"")</f>
        <v/>
      </c>
      <c r="T21" s="480" t="str">
        <f>IF(S21=1,1,"")</f>
        <v/>
      </c>
      <c r="U21" s="480"/>
      <c r="V21" s="480"/>
    </row>
    <row r="22" spans="1:22" ht="12.75" customHeight="1">
      <c r="A22" s="436"/>
      <c r="B22" s="17"/>
      <c r="C22" s="17"/>
      <c r="D22" s="17"/>
      <c r="E22" s="17"/>
      <c r="F22" s="17"/>
      <c r="G22" s="24"/>
      <c r="H22" s="24"/>
      <c r="I22" s="648"/>
      <c r="L22" s="23"/>
      <c r="Q22" s="21">
        <v>2</v>
      </c>
      <c r="R22" s="21">
        <f>T8</f>
        <v>-228</v>
      </c>
      <c r="S22" s="21" t="str">
        <f>IF(R22&gt;=D4,IF(S21=1,"",1),"")</f>
        <v/>
      </c>
      <c r="T22" s="480"/>
      <c r="U22" s="480" t="str">
        <f>IF(S22=1,1,"")</f>
        <v/>
      </c>
      <c r="V22" s="480"/>
    </row>
    <row r="23" spans="1:22" ht="12.75" customHeight="1">
      <c r="A23" s="436"/>
      <c r="B23" s="17"/>
      <c r="C23" s="17"/>
      <c r="D23" s="17"/>
      <c r="E23" s="17"/>
      <c r="F23" s="17"/>
      <c r="G23" s="24"/>
      <c r="H23" s="24"/>
      <c r="Q23" s="21">
        <v>3</v>
      </c>
      <c r="R23" s="21">
        <f>U8</f>
        <v>-291</v>
      </c>
      <c r="S23" s="21" t="str">
        <f>IF(R23&gt;=D4,IF(R22&gt;=D4,"",1),"")</f>
        <v/>
      </c>
      <c r="V23" s="480" t="str">
        <f>IF(S23=1,1,"")</f>
        <v/>
      </c>
    </row>
    <row r="24" spans="1:22" ht="12.75" customHeight="1">
      <c r="A24" s="436"/>
      <c r="B24" s="17"/>
      <c r="C24" s="17"/>
      <c r="D24" s="17"/>
      <c r="E24" s="17"/>
      <c r="F24" s="17"/>
      <c r="G24" s="24"/>
      <c r="H24" s="24"/>
      <c r="L24" s="21" t="str">
        <f>CONCATENATE(N24,"-",$P$7)</f>
        <v xml:space="preserve">1700-strieborná </v>
      </c>
      <c r="M24" s="24">
        <f>SUM(T21:T32)</f>
        <v>0</v>
      </c>
      <c r="N24" s="21">
        <v>1700</v>
      </c>
      <c r="P24" s="21" t="s">
        <v>652</v>
      </c>
      <c r="Q24" s="481" t="s">
        <v>653</v>
      </c>
      <c r="R24" s="21">
        <f>S8+T8</f>
        <v>-393</v>
      </c>
      <c r="S24" s="21" t="str">
        <f>IF(R24&gt;=D4,IF(SUM(S21:S23)&gt;0,"",1),"")</f>
        <v/>
      </c>
      <c r="T24" s="480" t="str">
        <f>IF(S24=1,1,"")</f>
        <v/>
      </c>
      <c r="U24" s="480" t="str">
        <f>IF(S24=1,1,"")</f>
        <v/>
      </c>
    </row>
    <row r="25" spans="1:22" ht="12.75" customHeight="1">
      <c r="A25" s="436"/>
      <c r="B25" s="17"/>
      <c r="D25" s="17"/>
      <c r="E25" s="17"/>
      <c r="F25" s="17"/>
      <c r="G25" s="452" t="str">
        <f>texty!$A$21</f>
        <v>partnerská zľava:</v>
      </c>
      <c r="H25" s="24"/>
      <c r="L25" s="21" t="str">
        <f>CONCATENATE(N25,"-",$P$7)</f>
        <v xml:space="preserve">2350-strieborná </v>
      </c>
      <c r="M25" s="24">
        <f>SUM(U21:U32)</f>
        <v>0</v>
      </c>
      <c r="N25" s="21">
        <v>2350</v>
      </c>
      <c r="Q25" s="21" t="s">
        <v>689</v>
      </c>
      <c r="R25" s="21">
        <f>T8+T8</f>
        <v>-456</v>
      </c>
      <c r="S25" s="21" t="str">
        <f>IF(R25&gt;=D4,IF(SUM(S21:S24)&gt;0,"",1),"")</f>
        <v/>
      </c>
      <c r="U25" s="480" t="str">
        <f>IF(S25=1,2,"")</f>
        <v/>
      </c>
    </row>
    <row r="26" spans="1:22" ht="12.75" customHeight="1">
      <c r="A26" s="441" t="str">
        <f>+System10!$A$26</f>
        <v>Objednávacie kódy, ceny:</v>
      </c>
      <c r="B26" s="17"/>
      <c r="D26" s="17"/>
      <c r="E26" s="17"/>
      <c r="F26" s="17"/>
      <c r="G26" s="388">
        <f>profil!C15</f>
        <v>0</v>
      </c>
      <c r="H26" s="454" t="s">
        <v>70</v>
      </c>
      <c r="L26" s="21" t="str">
        <f>CONCATENATE(N26,"-",$P$7)</f>
        <v xml:space="preserve">3000-strieborná </v>
      </c>
      <c r="M26" s="24">
        <f>SUM(V21:V32)</f>
        <v>0</v>
      </c>
      <c r="N26" s="21">
        <v>3000</v>
      </c>
      <c r="O26" s="482"/>
      <c r="Q26" s="21" t="s">
        <v>654</v>
      </c>
      <c r="R26" s="21">
        <f>S8+U8</f>
        <v>-456</v>
      </c>
      <c r="S26" s="21" t="str">
        <f>IF(R26&gt;=D4,IF(SUM(S21:S25)&gt;0,"",1),"")</f>
        <v/>
      </c>
      <c r="T26" s="480" t="str">
        <f>IF(S26=1,1,"")</f>
        <v/>
      </c>
      <c r="V26" s="480" t="str">
        <f>IF(S26=1,1,"")</f>
        <v/>
      </c>
    </row>
    <row r="27" spans="1:22" ht="12.75" customHeight="1">
      <c r="A27" s="436"/>
      <c r="B27" s="19" t="s">
        <v>3</v>
      </c>
      <c r="C27" s="20" t="str">
        <f>texty!$A$16</f>
        <v>názov</v>
      </c>
      <c r="D27" s="19" t="str">
        <f>texty!$A$17</f>
        <v>ks</v>
      </c>
      <c r="E27" s="19" t="str">
        <f>texty!$A$18</f>
        <v>cena/ks</v>
      </c>
      <c r="F27" s="19" t="str">
        <f>texty!$A$19</f>
        <v>cena celkom</v>
      </c>
      <c r="G27" s="20" t="str">
        <f>texty!$A$20</f>
        <v>celkom netto:</v>
      </c>
      <c r="H27" s="24"/>
      <c r="I27" s="20" t="str">
        <f>texty!A29</f>
        <v>Poznámka:</v>
      </c>
      <c r="J27" s="20"/>
      <c r="L27" s="24"/>
      <c r="M27" s="21">
        <f>COUNT(M24,M25,M26)</f>
        <v>3</v>
      </c>
      <c r="N27" s="482"/>
      <c r="O27" s="482"/>
      <c r="Q27" s="21" t="s">
        <v>655</v>
      </c>
      <c r="R27" s="21">
        <f>T8+U8</f>
        <v>-519</v>
      </c>
      <c r="S27" s="21" t="str">
        <f>IF(R27&gt;=D4,IF(SUM(S21:S26)&gt;0,"",1),"")</f>
        <v/>
      </c>
      <c r="U27" s="480" t="str">
        <f>IF(S27=1,1,"")</f>
        <v/>
      </c>
      <c r="V27" s="480" t="str">
        <f>IF(S27=1,1,"")</f>
        <v/>
      </c>
    </row>
    <row r="28" spans="1:22" ht="12.75" customHeight="1">
      <c r="A28" s="436" t="str">
        <f>+System10!$A$28</f>
        <v>Horný profil:</v>
      </c>
      <c r="B28" s="16">
        <f>+VLOOKUP(K5,data!$C$176:$D$190,2,0)</f>
        <v>89106</v>
      </c>
      <c r="C28" s="25" t="str">
        <f>+VLOOKUP(B28,cennik!$A:$G,2,FALSE)</f>
        <v>SEVROLL Gemini horné vedenie 1,7m strieborná</v>
      </c>
      <c r="D28" s="17"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24" t="str">
        <f>cennik!$B$2</f>
        <v>EUR</v>
      </c>
      <c r="I28" s="483" t="str">
        <f>IFERROR(IF((VLOOKUP(B28,cennik!A:L,12,0))="O",texty!$A$250,""),"")</f>
        <v/>
      </c>
      <c r="J28" s="196"/>
      <c r="K28" s="196" t="str">
        <f>IF(D28&gt;0,IF(VLOOKUP(B28,cennik!A:L,12,FALSE)="O",1,""),"")</f>
        <v/>
      </c>
      <c r="L28" s="24"/>
      <c r="M28" s="482"/>
      <c r="N28" s="482"/>
      <c r="O28" s="482"/>
      <c r="Q28" s="21" t="s">
        <v>690</v>
      </c>
      <c r="R28" s="21">
        <f>U8+U8</f>
        <v>-582</v>
      </c>
      <c r="S28" s="21" t="str">
        <f>IF(R28&gt;=D4,IF(SUM(S21:S27)&gt;0,"",1),"")</f>
        <v/>
      </c>
      <c r="V28" s="480" t="str">
        <f>IF(S28=1,2,"")</f>
        <v/>
      </c>
    </row>
    <row r="29" spans="1:22" ht="12.75" customHeight="1">
      <c r="A29" s="436" t="str">
        <f>+System10!$A$29</f>
        <v>spodný profil:</v>
      </c>
      <c r="B29" s="16">
        <f>+VLOOKUP(M5,data!$C$4:$D$73,2,0)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IF(B29=data!$D$63,0,+VLOOKUP(B29,cennik!$A$3:$G$907,3,FALSE))</f>
        <v>9.0389999999999997</v>
      </c>
      <c r="F29" s="92">
        <f>+E29*D29</f>
        <v>9.0389999999999997</v>
      </c>
      <c r="G29" s="93">
        <f t="shared" si="1"/>
        <v>9.0389999999999997</v>
      </c>
      <c r="H29" s="24" t="str">
        <f>cennik!$B$2</f>
        <v>EUR</v>
      </c>
      <c r="I29" s="483" t="str">
        <f>IFERROR(IF((VLOOKUP(B29,cennik!A:L,12,0))="O",texty!$A$250,""),"")</f>
        <v/>
      </c>
      <c r="J29" s="453" t="str">
        <f>IF(D29&gt;0,IF(VLOOKUP(B29,cennik!A:L,12,FALSE)="O",1,""),"")</f>
        <v/>
      </c>
      <c r="K29" s="196" t="str">
        <f>IF(D29&gt;0,IF(VLOOKUP(B29,cennik!A:L,12,FALSE)="O",1,""),"")</f>
        <v/>
      </c>
      <c r="L29" s="24" t="s">
        <v>656</v>
      </c>
      <c r="M29" s="21" t="str">
        <f>IF(M24=0,IF(M25=0,L26,L25),L24)</f>
        <v xml:space="preserve">3000-strieborná </v>
      </c>
      <c r="N29" s="482">
        <f>IF(M29=L24,M24,IF(M29=L25,M25,IF(M29=L26,M26,"chyba")))</f>
        <v>0</v>
      </c>
      <c r="O29" s="482"/>
      <c r="P29" s="482"/>
      <c r="Q29" s="21" t="s">
        <v>691</v>
      </c>
      <c r="R29" s="21">
        <f>S8+S8+S8</f>
        <v>-495</v>
      </c>
      <c r="S29" s="21" t="str">
        <f>IF(R29&gt;=D4,IF(SUM(S21:S28)&gt;0,"",1),"")</f>
        <v/>
      </c>
      <c r="T29" s="480" t="str">
        <f>IF(S29=1,3,"")</f>
        <v/>
      </c>
    </row>
    <row r="30" spans="1:22" ht="12.75" customHeight="1">
      <c r="A30" s="436" t="str">
        <f>+System10!$A$30</f>
        <v>krycí profil (maska):</v>
      </c>
      <c r="B30" s="16">
        <f>+VLOOKUP(M5,data!$C$90:$D$175,2,0)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>+E30*D30</f>
        <v>2.8683800000000002</v>
      </c>
      <c r="G30" s="93">
        <f t="shared" si="1"/>
        <v>2.8683800000000002</v>
      </c>
      <c r="H30" s="24" t="str">
        <f>cennik!$B$2</f>
        <v>EUR</v>
      </c>
      <c r="I30" s="483" t="str">
        <f>IFERROR(IF((VLOOKUP(B30,cennik!A:L,12,0))="O",texty!$A$250,""),"")</f>
        <v/>
      </c>
      <c r="J30" s="453" t="str">
        <f>IF(D30&gt;0,IF(VLOOKUP(B30,cennik!A:L,12,FALSE)="O",1,""),"")</f>
        <v/>
      </c>
      <c r="K30" s="196" t="str">
        <f>IF(D30&gt;0,IF(VLOOKUP(B30,cennik!A:L,12,FALSE)="O",1,""),"")</f>
        <v/>
      </c>
      <c r="L30" s="24" t="s">
        <v>657</v>
      </c>
      <c r="M30" s="21" t="str">
        <f>IF(M29=L26,"jiné",IF(M29=L24,IF(M25&lt;&gt;0,L25,IF(M26&lt;&gt;0,L26,"jiné")),IF(M26&lt;&gt;0,L26,"jiné")))</f>
        <v>jiné</v>
      </c>
      <c r="N30" s="482">
        <f>IF(M30=L25,M25,IF(M30=L26,M26,IF(M30=L27,M27,0)))</f>
        <v>0</v>
      </c>
      <c r="O30" s="482"/>
      <c r="P30" s="482"/>
      <c r="Q30" s="21" t="s">
        <v>658</v>
      </c>
      <c r="R30" s="21">
        <f>S8+2*T8</f>
        <v>-621</v>
      </c>
      <c r="S30" s="21" t="str">
        <f>IF(R30&gt;=D4,IF(SUM(S21:S29)&gt;0,"",1),"")</f>
        <v/>
      </c>
      <c r="T30" s="480" t="str">
        <f>IF(S30=1,1,"")</f>
        <v/>
      </c>
      <c r="U30" s="480" t="str">
        <f>IF(S30=1,2,"")</f>
        <v/>
      </c>
    </row>
    <row r="31" spans="1:22" ht="12.75" customHeight="1">
      <c r="A31" s="436" t="str">
        <f>+System10!$A$31</f>
        <v>horné vozíky (sady)</v>
      </c>
      <c r="B31" s="16">
        <v>89265</v>
      </c>
      <c r="C31" s="25" t="str">
        <f>+VLOOKUP(B31,cennik!$A:$G,2,FALSE)</f>
        <v>SEVROLL horný vozík 10mm asymetr.(L+P)</v>
      </c>
      <c r="D31" s="17">
        <f>IF((D49+D50)&gt;D4,0,D4-(D49+D50))</f>
        <v>3</v>
      </c>
      <c r="E31" s="92">
        <f>+VLOOKUP(B31,cennik!$A:$G,3,FALSE)</f>
        <v>5.7608600000000001</v>
      </c>
      <c r="F31" s="92">
        <f t="shared" ref="F31:F39" si="2">+E31*D31</f>
        <v>17.282579999999999</v>
      </c>
      <c r="G31" s="93">
        <f t="shared" si="1"/>
        <v>17.282579999999999</v>
      </c>
      <c r="H31" s="24" t="str">
        <f>cennik!$B$2</f>
        <v>EUR</v>
      </c>
      <c r="I31" s="483" t="str">
        <f>IFERROR(IF((VLOOKUP(B31,cennik!A:L,12,0))="O",texty!$A$250,""),"")</f>
        <v/>
      </c>
      <c r="J31" s="453" t="str">
        <f>IF(D31&gt;0,IF(VLOOKUP(B31,cennik!A:L,12,FALSE)="O",1,""),"")</f>
        <v/>
      </c>
      <c r="K31" s="196" t="str">
        <f>IF(D31&gt;0,IF(VLOOKUP(B31,cennik!A:L,12,FALSE)="O",1,""),"")</f>
        <v/>
      </c>
      <c r="L31" s="24"/>
      <c r="M31" s="482"/>
      <c r="N31" s="482"/>
      <c r="O31" s="482"/>
      <c r="P31" s="482"/>
      <c r="Q31" s="21" t="s">
        <v>692</v>
      </c>
      <c r="R31" s="21">
        <f>T8+T8+T8</f>
        <v>-684</v>
      </c>
      <c r="S31" s="21" t="str">
        <f>IF(R31&gt;=D4,IF(SUM(S21:S30)&gt;0,"",1),"")</f>
        <v/>
      </c>
      <c r="U31" s="480" t="str">
        <f>IF(S31=1,3,"")</f>
        <v/>
      </c>
    </row>
    <row r="32" spans="1:22" ht="12.75" customHeight="1">
      <c r="A32" s="436" t="str">
        <f>+System10!$A$32</f>
        <v>spodné vozíky (sada)</v>
      </c>
      <c r="B32" s="16">
        <f>IF(F4=M66,328321,229441)</f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2"/>
        <v>18.58419</v>
      </c>
      <c r="G32" s="93">
        <f t="shared" si="1"/>
        <v>18.58419</v>
      </c>
      <c r="H32" s="24" t="str">
        <f>cennik!$B$2</f>
        <v>EUR</v>
      </c>
      <c r="I32" s="483" t="str">
        <f>IFERROR(IF((VLOOKUP(B32,cennik!A:L,12,0))="O",texty!$A$250,""),"")</f>
        <v/>
      </c>
      <c r="J32" s="453" t="str">
        <f>IF(D32&gt;0,IF(VLOOKUP(B32,cennik!A:L,12,FALSE)="O",1,""),"")</f>
        <v/>
      </c>
      <c r="K32" s="196" t="str">
        <f>IF(D32&gt;0,IF(VLOOKUP(B32,cennik!A:L,12,FALSE)="O",1,""),"")</f>
        <v/>
      </c>
      <c r="L32" s="24"/>
      <c r="M32" s="482"/>
      <c r="N32" s="482"/>
      <c r="O32" s="482"/>
      <c r="P32" s="482"/>
      <c r="Q32" s="21" t="s">
        <v>659</v>
      </c>
      <c r="R32" s="21">
        <f>S8+2*U8</f>
        <v>-747</v>
      </c>
      <c r="S32" s="21" t="str">
        <f>IF(R32&gt;=D4,IF(SUM(S21:S31)&gt;0,"",1),"")</f>
        <v/>
      </c>
      <c r="T32" s="480" t="str">
        <f>IF(S32=1,1,"")</f>
        <v/>
      </c>
      <c r="V32" s="480" t="str">
        <f>IF(S32=1,2,"")</f>
        <v/>
      </c>
    </row>
    <row r="33" spans="1:12" ht="12.75" customHeight="1">
      <c r="A33" s="436" t="str">
        <f>+System10!$A$33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24" t="str">
        <f>cennik!$B$2</f>
        <v>EUR</v>
      </c>
      <c r="I33" s="483" t="str">
        <f>IFERROR(IF((VLOOKUP(B33,cennik!A:L,12,0))="O",texty!$A$250,""),"")</f>
        <v/>
      </c>
      <c r="J33" s="453" t="str">
        <f>IF(D33&gt;0,IF(VLOOKUP(B33,cennik!A:L,12,FALSE)="O",1,""),"")</f>
        <v/>
      </c>
      <c r="K33" s="196" t="str">
        <f>IF(D33&gt;0,IF(VLOOKUP(B33,cennik!A:L,12,FALSE)="O",1,""),"")</f>
        <v/>
      </c>
      <c r="L33" s="24"/>
    </row>
    <row r="34" spans="1:12" ht="12.75" customHeight="1">
      <c r="A34" s="436" t="str">
        <f>+System10!$A$34</f>
        <v>úchytková lišta</v>
      </c>
      <c r="B34" s="16">
        <f>+VLOOKUP(P7,data!$C$586:$D$587,2,0)</f>
        <v>196711</v>
      </c>
      <c r="C34" s="25" t="str">
        <f>+VLOOKUP(B34,cennik!$A:$G,2,FALSE)</f>
        <v>ASTIN Lux II úch.lišta 2,7m strieborná</v>
      </c>
      <c r="D34" s="17">
        <f>IF(B12&lt;=1347,D4*2/2,D4*2)</f>
        <v>3</v>
      </c>
      <c r="E34" s="92">
        <f>+VLOOKUP(B34,cennik!$A:$G,3,FALSE)</f>
        <v>24.1281</v>
      </c>
      <c r="F34" s="92">
        <f t="shared" si="2"/>
        <v>72.384299999999996</v>
      </c>
      <c r="G34" s="93">
        <f t="shared" si="1"/>
        <v>72.384299999999996</v>
      </c>
      <c r="H34" s="24" t="str">
        <f>cennik!$B$2</f>
        <v>EUR</v>
      </c>
      <c r="I34" s="483" t="str">
        <f>IFERROR(IF((VLOOKUP(B34,cennik!A:L,12,0))="O",texty!$A$250,""),"")</f>
        <v/>
      </c>
      <c r="J34" s="453" t="str">
        <f>IF(D34&gt;0,IF(VLOOKUP(B34,cennik!A:L,12,FALSE)="O",1,""),"")</f>
        <v/>
      </c>
      <c r="K34" s="196" t="str">
        <f>IF(D34&gt;0,IF(VLOOKUP(B34,cennik!A:L,12,FALSE)="O",1,""),"")</f>
        <v/>
      </c>
      <c r="L34" s="24"/>
    </row>
    <row r="35" spans="1:12" ht="12.75" customHeight="1">
      <c r="A35" s="436" t="str">
        <f>+System10!$A$35</f>
        <v>spojovacia skrutka</v>
      </c>
      <c r="B35" s="16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 t="shared" si="2"/>
        <v>1.7354400000000001</v>
      </c>
      <c r="G35" s="93">
        <f t="shared" si="1"/>
        <v>1.7354400000000001</v>
      </c>
      <c r="H35" s="24" t="str">
        <f>cennik!$B$2</f>
        <v>EUR</v>
      </c>
      <c r="I35" s="483" t="str">
        <f>IFERROR(IF((VLOOKUP(B35,cennik!A:L,12,0))="O",texty!$A$250,""),"")</f>
        <v/>
      </c>
      <c r="J35" s="453" t="str">
        <f>IF(D35&gt;0,IF(VLOOKUP(B35,cennik!A:L,12,FALSE)="O",1,""),"")</f>
        <v/>
      </c>
      <c r="K35" s="196" t="str">
        <f>IF(D35&gt;0,IF(VLOOKUP(B35,cennik!A:L,12,FALSE)="O",1,""),"")</f>
        <v/>
      </c>
      <c r="L35" s="23"/>
    </row>
    <row r="36" spans="1:12" ht="12.75" customHeight="1">
      <c r="A36" s="436" t="str">
        <f>+System10!$A$36</f>
        <v>horný profil rámu (vodiaca lišta)</v>
      </c>
      <c r="B36" s="16">
        <f>+VLOOKUP(M29,data!C262:D276,2,0)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2"/>
        <v>0</v>
      </c>
      <c r="G36" s="93">
        <f t="shared" si="1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453" t="str">
        <f>IF(D36&gt;0,IF(VLOOKUP(B36,cennik!A:L,12,FALSE)="O",1,""),"")</f>
        <v/>
      </c>
      <c r="K36" s="196" t="str">
        <f>IF(D36&gt;0,IF(VLOOKUP(B36,cennik!A:L,12,FALSE)="O",1,""),"")</f>
        <v/>
      </c>
      <c r="L36" s="23" t="s">
        <v>15</v>
      </c>
    </row>
    <row r="37" spans="1:12" ht="12.75" customHeight="1">
      <c r="A37" s="436" t="str">
        <f>+System10!$A$36</f>
        <v>horný profil rámu (vodiaca lišta)</v>
      </c>
      <c r="B37" s="24" t="str">
        <f>IF(M30&lt;&gt;"jiné",+VLOOKUP(M30,data!C262:D276,2,0),"")</f>
        <v/>
      </c>
      <c r="C37" s="460" t="str">
        <f>IF(M30&lt;&gt;"jiné",+VLOOKUP(B37,cennik!$A:$G,2,FALSE),texty!$A$2)</f>
        <v>druhá lišta nieje potrebná</v>
      </c>
      <c r="D37" s="65">
        <f>N30</f>
        <v>0</v>
      </c>
      <c r="E37" s="461">
        <f>IF(M30&lt;&gt;"jiné",+VLOOKUP(B37,cennik!$A:$G,3,FALSE),0)</f>
        <v>0</v>
      </c>
      <c r="F37" s="92">
        <f t="shared" si="2"/>
        <v>0</v>
      </c>
      <c r="G37" s="93">
        <f t="shared" si="1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453" t="str">
        <f>IF(D37&gt;0,IF(VLOOKUP(B37,cennik!A:L,12,FALSE)="O",1,""),"")</f>
        <v/>
      </c>
      <c r="K37" s="196" t="str">
        <f>IF(D37&gt;0,IF(VLOOKUP(B37,cennik!A:L,12,FALSE)="O",1,""),"")</f>
        <v/>
      </c>
      <c r="L37" s="23" t="s">
        <v>15</v>
      </c>
    </row>
    <row r="38" spans="1:12" ht="12.75" customHeight="1">
      <c r="A38" s="436" t="str">
        <f>+System10!A38</f>
        <v>horizontálny spodný profil rámu</v>
      </c>
      <c r="B38" s="16">
        <f>+VLOOKUP(M29,data!$C$315:$D$326,2,0)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2"/>
        <v>0</v>
      </c>
      <c r="G38" s="93">
        <f t="shared" si="1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453" t="str">
        <f>IF(D38&gt;0,IF(VLOOKUP(B38,cennik!A:L,12,FALSE)="O",1,""),"")</f>
        <v/>
      </c>
      <c r="K38" s="196" t="str">
        <f>IF(D38&gt;0,IF(VLOOKUP(B38,cennik!A:L,12,FALSE)="O",1,""),"")</f>
        <v/>
      </c>
      <c r="L38" s="23" t="s">
        <v>15</v>
      </c>
    </row>
    <row r="39" spans="1:12" ht="12.75" customHeight="1">
      <c r="A39" s="436" t="str">
        <f>+System10!A39</f>
        <v>horizontálny spodný profil rámu</v>
      </c>
      <c r="B39" s="24" t="str">
        <f>IF(M30&lt;&gt;"jiné",+VLOOKUP(M30,data!$C$315:$D$326,2,0),"")</f>
        <v/>
      </c>
      <c r="C39" s="25" t="str">
        <f>IF(M30&lt;&gt;"jiné",+VLOOKUP(B39,cennik!$A:$G,2,FALSE),texty!A2)</f>
        <v>druhá lišta nieje potrebná</v>
      </c>
      <c r="D39" s="65">
        <f>N30</f>
        <v>0</v>
      </c>
      <c r="E39" s="461">
        <f>IF(M30&lt;&gt;"jiné",+VLOOKUP(B39,cennik!$A:$G,3,FALSE),0)</f>
        <v>0</v>
      </c>
      <c r="F39" s="92">
        <f t="shared" si="2"/>
        <v>0</v>
      </c>
      <c r="G39" s="93">
        <f t="shared" si="1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453" t="str">
        <f>IF(D39&gt;0,IF(VLOOKUP(B39,cennik!A:L,12,FALSE)="O",1,""),"")</f>
        <v/>
      </c>
      <c r="K39" s="196" t="str">
        <f>IF(D39&gt;0,IF(VLOOKUP(B39,cennik!A:L,12,FALSE)="O",1,""),"")</f>
        <v/>
      </c>
      <c r="L39" s="23" t="s">
        <v>15</v>
      </c>
    </row>
    <row r="40" spans="1:12" ht="12.75" customHeight="1">
      <c r="E40" s="375"/>
      <c r="F40" s="375"/>
      <c r="G40" s="375"/>
      <c r="H40" s="24"/>
      <c r="I40" s="483" t="str">
        <f>IFERROR(IF((VLOOKUP(B40,cennik!A:L,12,0))="O",texty!$A$250,""),"")</f>
        <v/>
      </c>
      <c r="J40" s="453"/>
      <c r="K40" s="196"/>
      <c r="L40" s="23" t="s">
        <v>16</v>
      </c>
    </row>
    <row r="41" spans="1:12" ht="12.75" customHeight="1">
      <c r="A41" s="441" t="str">
        <f>texty!$A$66</f>
        <v>Voliteľné príslušenstvo:</v>
      </c>
      <c r="B41" s="16"/>
      <c r="D41" s="462" t="str">
        <f>System10!$D$41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J41" s="453"/>
      <c r="K41" s="196"/>
      <c r="L41" s="23" t="s">
        <v>16</v>
      </c>
    </row>
    <row r="42" spans="1:12" ht="12.75" customHeight="1">
      <c r="A42" s="436" t="str">
        <f>texty!$A$88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7">
        <f t="shared" ref="F42:F50" si="3">+CEILING(D42,1)*E42</f>
        <v>0</v>
      </c>
      <c r="G42" s="93">
        <f t="shared" ref="G42:G48" si="4"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J42" s="453" t="str">
        <f>IF(D42&gt;0,IF(VLOOKUP(B42,cennik!A:L,12,FALSE)="O",1,""),"")</f>
        <v/>
      </c>
      <c r="K42" s="196" t="str">
        <f>IF(D42&gt;0,IF(VLOOKUP(B42,cennik!A:L,12,FALSE)="O",1,""),"")</f>
        <v/>
      </c>
      <c r="L42" s="23"/>
    </row>
    <row r="43" spans="1:12" ht="12.75" customHeight="1">
      <c r="A43" s="436" t="str">
        <f>+System10!$A$43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387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453" t="str">
        <f>IF(D43&gt;0,IF(VLOOKUP(B43,cennik!A:L,12,FALSE)="O",1,""),"")</f>
        <v/>
      </c>
      <c r="K43" s="196" t="str">
        <f>IF(D43&gt;0,IF(VLOOKUP(B43,cennik!A:L,12,FALSE)="O",1,""),"")</f>
        <v/>
      </c>
      <c r="L43" s="24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453" t="str">
        <f>IF(D44&gt;0,IF(VLOOKUP(B44,cennik!A:L,12,FALSE)="O",1,""),"")</f>
        <v/>
      </c>
      <c r="K44" s="196" t="str">
        <f>IF(D44&gt;0,IF(VLOOKUP(B44,cennik!A:L,12,FALSE)="O",1,""),"")</f>
        <v/>
      </c>
      <c r="L44" s="24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453" t="str">
        <f>IF(D45&gt;0,IF(VLOOKUP(B45,cennik!A:L,12,FALSE)="O",1,""),"")</f>
        <v/>
      </c>
      <c r="K45" s="196" t="str">
        <f>IF(D45&gt;0,IF(VLOOKUP(B45,cennik!A:L,12,FALSE)="O",1,""),"")</f>
        <v/>
      </c>
      <c r="L45" s="24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453" t="str">
        <f>IF(D46&gt;0,IF(VLOOKUP(B46,cennik!A:L,12,FALSE)="O",1,""),"")</f>
        <v/>
      </c>
      <c r="K46" s="196" t="str">
        <f>IF(D46&gt;0,IF(VLOOKUP(B46,cennik!A:L,12,FALSE)="O",1,""),"")</f>
        <v/>
      </c>
      <c r="L46" s="24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453" t="str">
        <f>IF(D47&gt;0,IF(VLOOKUP(B47,cennik!A:L,12,FALSE)="O",1,""),"")</f>
        <v/>
      </c>
      <c r="K47" s="196" t="str">
        <f>IF(D47&gt;0,IF(VLOOKUP(B47,cennik!A:L,12,FALSE)="O",1,""),"")</f>
        <v/>
      </c>
      <c r="L47" s="24"/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453" t="str">
        <f>IF(D48&gt;0,IF(VLOOKUP(B48,cennik!A:L,12,FALSE)="O",1,""),"")</f>
        <v/>
      </c>
      <c r="K48" s="196" t="str">
        <f>IF(D48&gt;0,IF(VLOOKUP(B48,cennik!A:L,12,FALSE)="O",1,""),"")</f>
        <v/>
      </c>
      <c r="L48" s="24"/>
    </row>
    <row r="49" spans="1:12" ht="12.75" customHeight="1">
      <c r="A49" s="436" t="str">
        <f>System10!A49</f>
        <v>tlmič dorazu (pár) 25 kg</v>
      </c>
      <c r="B49" s="24">
        <v>227185</v>
      </c>
      <c r="C49" s="25" t="str">
        <f>+VLOOKUP(B49,cennik!$A:$G,2,FALSE)</f>
        <v>K-SEVROLL tlmič dorazu 10/18mm 14-25kg(L+P)</v>
      </c>
      <c r="D49" s="387"/>
      <c r="E49" s="92">
        <f>+VLOOKUP(B49,cennik!$A:$G,3,FALSE)</f>
        <v>0</v>
      </c>
      <c r="F49" s="97">
        <f t="shared" si="3"/>
        <v>0</v>
      </c>
      <c r="G49" s="93">
        <f t="shared" ref="G49:G54" si="5">+F49*(100-$G$26)/100</f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453" t="str">
        <f>IF(D49&gt;0,IF(VLOOKUP(B49,cennik!A:L,12,FALSE)="O",1,""),"")</f>
        <v/>
      </c>
      <c r="K49" s="196" t="str">
        <f>IF(D49&gt;0,IF(VLOOKUP(B49,cennik!A:L,12,FALSE)="O",1,""),"")</f>
        <v/>
      </c>
      <c r="L49" s="24"/>
    </row>
    <row r="50" spans="1:12" ht="12.75" customHeight="1">
      <c r="A50" s="436" t="str">
        <f>texty!$A$98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387"/>
      <c r="E50" s="92">
        <f>+VLOOKUP(B50,cennik!$A:$G,3,FALSE)</f>
        <v>0</v>
      </c>
      <c r="F50" s="97">
        <f t="shared" si="3"/>
        <v>0</v>
      </c>
      <c r="G50" s="93">
        <f t="shared" si="5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453" t="str">
        <f>IF(D50&gt;0,IF(VLOOKUP(B50,cennik!A:L,12,FALSE)="O",1,""),"")</f>
        <v/>
      </c>
      <c r="K50" s="196" t="str">
        <f>IF(D50&gt;0,IF(VLOOKUP(B50,cennik!A:L,12,FALSE)="O",1,""),"")</f>
        <v/>
      </c>
    </row>
    <row r="51" spans="1:12" ht="12.75" customHeight="1">
      <c r="A51" s="436" t="str">
        <f>System10!A51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473"/>
      <c r="E51" s="92">
        <f>+VLOOKUP(B51,cennik!$A:$G,3,FALSE)</f>
        <v>17.52046</v>
      </c>
      <c r="F51" s="92">
        <f>+E51*D51</f>
        <v>0</v>
      </c>
      <c r="G51" s="93">
        <f t="shared" si="5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453" t="str">
        <f>IF(D51&gt;0,IF(VLOOKUP(B51,cennik!A:L,12,FALSE)="O",1,""),"")</f>
        <v/>
      </c>
      <c r="K51" s="196" t="str">
        <f>IF(D51&gt;0,IF(VLOOKUP(B51,cennik!A:L,12,FALSE)="O",1,""),"")</f>
        <v/>
      </c>
    </row>
    <row r="52" spans="1:12" ht="12.75" customHeight="1">
      <c r="A52" s="436" t="str">
        <f>System10!A52</f>
        <v>spojovací profil H30-3metre</v>
      </c>
      <c r="B52" s="17">
        <f>+VLOOKUP(P7,data!C399:D401,2,0)</f>
        <v>89069</v>
      </c>
      <c r="C52" s="25" t="str">
        <f>+VLOOKUP(B52,cennik!$A:$G,2,FALSE)</f>
        <v>SEVROLL-253S-SPOJ.LIŠTA H-30mm STR 3m</v>
      </c>
      <c r="D52" s="473"/>
      <c r="E52" s="92">
        <f>+VLOOKUP(B52,cennik!$A:$G,3,FALSE)</f>
        <v>26.594049999999999</v>
      </c>
      <c r="F52" s="92">
        <f>+E52*D52</f>
        <v>0</v>
      </c>
      <c r="G52" s="93">
        <f t="shared" si="5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453" t="str">
        <f>IF(D52&gt;0,IF(VLOOKUP(B52,cennik!A:L,12,FALSE)="O",1,""),"")</f>
        <v/>
      </c>
      <c r="K52" s="196" t="str">
        <f>IF(D52&gt;0,IF(VLOOKUP(B52,cennik!A:L,12,FALSE)="O",1,""),"")</f>
        <v/>
      </c>
    </row>
    <row r="53" spans="1:12" ht="12.75" customHeight="1">
      <c r="A53" s="436" t="str">
        <f>+System10!$A$35</f>
        <v>spojovacia skrutka</v>
      </c>
      <c r="B53" s="16">
        <v>89244</v>
      </c>
      <c r="C53" s="25" t="str">
        <f>+VLOOKUP(B53,cennik!$A:$G,2,FALSE)</f>
        <v>SEVROLL šroubovrut 6,3*32 -Sevroll a Simple</v>
      </c>
      <c r="D53" s="473"/>
      <c r="E53" s="92">
        <f>+VLOOKUP(B53,cennik!$A:$G,3,FALSE)</f>
        <v>0.14462</v>
      </c>
      <c r="F53" s="92">
        <f>+E53*D53</f>
        <v>0</v>
      </c>
      <c r="G53" s="93">
        <f t="shared" si="5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453" t="str">
        <f>IF(D53&gt;0,IF(VLOOKUP(B53,cennik!A:L,12,FALSE)="O",1,""),"")</f>
        <v/>
      </c>
      <c r="K53" s="196" t="str">
        <f>IF(D53&gt;0,IF(VLOOKUP(B53,cennik!A:L,12,FALSE)="O",1,""),"")</f>
        <v/>
      </c>
      <c r="L53" s="24"/>
    </row>
    <row r="54" spans="1:12" ht="12.75" customHeight="1">
      <c r="A54" s="436" t="str">
        <f>System10!A55</f>
        <v>protiprachový kartáč</v>
      </c>
      <c r="B54" s="17">
        <v>95946</v>
      </c>
      <c r="C54" s="25" t="str">
        <f>+VLOOKUP(B54,cennik!$A:$G,2,FALSE)</f>
        <v>SEVROLL protiprach.kartáč zásuvný 4,8x13mm</v>
      </c>
      <c r="D54" s="473"/>
      <c r="E54" s="92">
        <f>+VLOOKUP(B54,cennik!$A:$G,3,FALSE)</f>
        <v>0.16506999999999999</v>
      </c>
      <c r="F54" s="92">
        <f>+E54*D54</f>
        <v>0</v>
      </c>
      <c r="G54" s="93">
        <f t="shared" si="5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453" t="str">
        <f>IF(D54&gt;0,IF(VLOOKUP(B54,cennik!A:L,12,FALSE)="O",1,""),"")</f>
        <v/>
      </c>
      <c r="K54" s="196" t="str">
        <f>IF(D54&gt;0,IF(VLOOKUP(B54,cennik!A:L,12,FALSE)="O",1,""),"")</f>
        <v/>
      </c>
      <c r="L54" s="24"/>
    </row>
    <row r="55" spans="1:12" ht="12.75" customHeight="1">
      <c r="I55" s="483" t="str">
        <f>IFERROR(IF((VLOOKUP(B55,cennik!A:L,12,0))="O",texty!$A$250,""),"")</f>
        <v/>
      </c>
      <c r="J55" s="21"/>
      <c r="K55" s="196"/>
      <c r="L55" s="24"/>
    </row>
    <row r="56" spans="1:12" ht="12.75" customHeight="1">
      <c r="I56" s="483" t="str">
        <f>IFERROR(IF((VLOOKUP(B56,cennik!A:L,12,0))="O",texty!$A$250,""),"")</f>
        <v/>
      </c>
      <c r="K56" s="196"/>
      <c r="L56" s="24"/>
    </row>
    <row r="57" spans="1:12" ht="12.75" customHeight="1">
      <c r="A57" s="443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7" s="42"/>
      <c r="C57" s="43"/>
      <c r="D57" s="42"/>
      <c r="E57" s="98"/>
      <c r="F57" s="98"/>
      <c r="G57" s="99"/>
      <c r="H57" s="24"/>
      <c r="I57" s="483" t="str">
        <f>IFERROR(IF((VLOOKUP(B57,cennik!A:L,12,0))="O",texty!$A$250,""),"")</f>
        <v/>
      </c>
      <c r="J57" s="453" t="str">
        <f>IF(D57&gt;0,IF(VLOOKUP(B57,cennik!A:L,12,FALSE)="O",1,""),"")</f>
        <v/>
      </c>
      <c r="K57" s="196"/>
      <c r="L57" s="24"/>
    </row>
    <row r="58" spans="1:12" ht="12.75" customHeight="1">
      <c r="C58" s="463" t="str">
        <f>texty!$A$10</f>
        <v>Potrebná dĺžka tesnenia pri celkovom presklení (nutné objednať celé metre)</v>
      </c>
      <c r="D58" s="453">
        <f>CEILING(((B9+C9)*2/1000*D4),1)</f>
        <v>0</v>
      </c>
      <c r="E58" s="375"/>
      <c r="F58" s="375"/>
      <c r="G58" s="375"/>
      <c r="H58" s="24"/>
      <c r="I58" s="483" t="str">
        <f>IFERROR(IF((VLOOKUP(B58,cennik!A:L,12,0))="O",texty!$A$250,""),"")</f>
        <v/>
      </c>
      <c r="J58" s="453"/>
      <c r="K58" s="196"/>
      <c r="L58" s="24"/>
    </row>
    <row r="59" spans="1:12" ht="12.75" customHeight="1">
      <c r="A59" s="464" t="str">
        <f>texty!$A$12</f>
        <v>(pri kombináciach s H profilmi je nutné pripočítať potrebnú dĺžku - tesnenie musí byť po celom odvode každého skla</v>
      </c>
      <c r="B59" s="465"/>
      <c r="C59" s="466"/>
      <c r="D59" s="465"/>
      <c r="E59" s="455"/>
      <c r="F59" s="455"/>
      <c r="G59" s="455"/>
      <c r="H59" s="24"/>
      <c r="I59" s="483" t="str">
        <f>IFERROR(IF((VLOOKUP(B59,cennik!A:L,12,0))="O",texty!$A$250,""),"")</f>
        <v/>
      </c>
      <c r="J59" s="453" t="str">
        <f>IF(D59&gt;0,IF(VLOOKUP(B59,cennik!A:L,12,FALSE)="O",1,""),"")</f>
        <v/>
      </c>
      <c r="K59" s="196"/>
      <c r="L59" s="24"/>
    </row>
    <row r="60" spans="1:12" ht="12.75" customHeight="1">
      <c r="A60" s="436" t="str">
        <f>System10!A59</f>
        <v>tesnenie na sklo 4mm</v>
      </c>
      <c r="B60" s="17">
        <v>89238</v>
      </c>
      <c r="C60" s="25" t="str">
        <f>+VLOOKUP(B60,cennik!$A:$G,2,FALSE)</f>
        <v>SEVROLL tesnenie na sklo 10/4mm</v>
      </c>
      <c r="D60" s="474"/>
      <c r="E60" s="92">
        <f>+VLOOKUP(B60,cennik!$A:$G,3,FALSE)</f>
        <v>0.89917999999999998</v>
      </c>
      <c r="F60" s="97">
        <f>+CEILING(D60,1)*E60</f>
        <v>0</v>
      </c>
      <c r="G60" s="93">
        <f>+F60*(100-$G$26)/100</f>
        <v>0</v>
      </c>
      <c r="H60" s="24" t="str">
        <f>cennik!$B$2</f>
        <v>EUR</v>
      </c>
      <c r="I60" s="483" t="str">
        <f>IFERROR(IF((VLOOKUP(B60,cennik!A:L,12,0))="O",texty!$A$250,""),"")</f>
        <v/>
      </c>
      <c r="J60" s="453" t="str">
        <f>IF(D60&gt;0,IF(VLOOKUP(B60,cennik!A:L,12,FALSE)="O",1,""),"")</f>
        <v/>
      </c>
      <c r="K60" s="196" t="str">
        <f>IF(D60&gt;0,IF(VLOOKUP(B60,cennik!A:L,12,FALSE)="O",1,""),"")</f>
        <v/>
      </c>
      <c r="L60" s="24"/>
    </row>
    <row r="61" spans="1:12" ht="12.75" customHeight="1">
      <c r="A61" s="436" t="str">
        <f>texty!A103</f>
        <v>tesnenie na sklo 4,5 mm</v>
      </c>
      <c r="B61" s="17">
        <v>135164</v>
      </c>
      <c r="C61" s="25" t="str">
        <f>+VLOOKUP(B61,cennik!$A:$G,2,FALSE)</f>
        <v>SEVROLL- TESNENIE NA SKLO 4,5mm</v>
      </c>
      <c r="D61" s="474"/>
      <c r="E61" s="92">
        <f>+VLOOKUP(B61,cennik!$A:$G,3,FALSE)</f>
        <v>0.79542999999999997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J61" s="453" t="str">
        <f>IF(D61&gt;0,IF(VLOOKUP(B61,cennik!A:L,12,FALSE)="O",1,""),"")</f>
        <v/>
      </c>
      <c r="K61" s="196" t="str">
        <f>IF(D61&gt;0,IF(VLOOKUP(B61,cennik!A:L,12,FALSE)="O",1,""),"")</f>
        <v/>
      </c>
      <c r="L61" s="23"/>
    </row>
    <row r="62" spans="1:12" ht="12.75" customHeight="1">
      <c r="A62" s="436" t="str">
        <f>System10!A61</f>
        <v>tesnenie na sklo 6mm</v>
      </c>
      <c r="B62" s="17">
        <v>89243</v>
      </c>
      <c r="C62" s="25" t="str">
        <f>+VLOOKUP(B62,cennik!$A:$G,2,FALSE)</f>
        <v>SEVROLL tesnenie na sklo 10/6mm</v>
      </c>
      <c r="D62" s="474"/>
      <c r="E62" s="92">
        <f>+VLOOKUP(B62,cennik!$A:$G,3,FALSE)</f>
        <v>0.89917999999999998</v>
      </c>
      <c r="F62" s="97">
        <f>+CEILING(D62,1)*E62</f>
        <v>0</v>
      </c>
      <c r="G62" s="93">
        <f>+F62*(100-$G$26)/100</f>
        <v>0</v>
      </c>
      <c r="H62" s="24" t="str">
        <f>cennik!$B$2</f>
        <v>EUR</v>
      </c>
      <c r="I62" s="483" t="str">
        <f>IFERROR(IF((VLOOKUP(B62,cennik!A:L,12,0))="O",texty!$A$250,""),"")</f>
        <v/>
      </c>
      <c r="J62" s="453" t="str">
        <f>IF(D62&gt;0,IF(VLOOKUP(B62,cennik!A:L,12,FALSE)="O",1,""),"")</f>
        <v/>
      </c>
      <c r="K62" s="196" t="str">
        <f>IF(D62&gt;0,IF(VLOOKUP(B62,cennik!A:L,12,FALSE)="O",1,""),"")</f>
        <v/>
      </c>
      <c r="L62" s="24"/>
    </row>
    <row r="63" spans="1:12" ht="16">
      <c r="A63" s="285" t="str">
        <f>texty!$A$190</f>
        <v>Ďalšie príslušenstvo</v>
      </c>
      <c r="E63" s="375"/>
      <c r="F63" s="375"/>
      <c r="G63" s="375"/>
      <c r="H63" s="24"/>
      <c r="I63" s="483" t="str">
        <f>IFERROR(IF((VLOOKUP(B63,cennik!A:L,12,0))="O",texty!$A$250,""),"")</f>
        <v/>
      </c>
      <c r="J63" s="453" t="str">
        <f>IF(D63&gt;0,IF(VLOOKUP(B63,cennik!A:L,12,FALSE)="O",1,""),"")</f>
        <v/>
      </c>
      <c r="K63" s="196" t="str">
        <f>IF(D63&gt;0,IF(VLOOKUP(B63,cennik!A:L,12,FALSE)="O",1,""),"")</f>
        <v/>
      </c>
    </row>
    <row r="64" spans="1:12" ht="12.75" customHeight="1">
      <c r="A64" s="285" t="str">
        <f>texty!$A$244</f>
        <v>Technický nákres tohoto systému</v>
      </c>
      <c r="B64" s="467">
        <v>129677</v>
      </c>
      <c r="C64" s="467" t="str">
        <f>VLOOKUP(B64,cennik!A:C,2,0)</f>
        <v>SEVROLL-MONT.PRÍPRAVOK NA DTD 10mm MALÝ</v>
      </c>
      <c r="D64" s="474"/>
      <c r="E64" s="92">
        <f>+VLOOKUP(B64,cennik!$A:$G,3,FALSE)</f>
        <v>5.60419</v>
      </c>
      <c r="F64" s="97">
        <f>+CEILING(D64,1)*E64</f>
        <v>0</v>
      </c>
      <c r="G64" s="93">
        <f>+F64</f>
        <v>0</v>
      </c>
      <c r="H64" s="24" t="str">
        <f>cennik!$B$2</f>
        <v>EUR</v>
      </c>
      <c r="I64" s="483" t="str">
        <f>IFERROR(IF((VLOOKUP(B64,cennik!A:L,12,0))="O",texty!$A$250,""),"")</f>
        <v/>
      </c>
      <c r="J64" s="453" t="str">
        <f>IF(D64&gt;0,IF(VLOOKUP(B64,cennik!A:L,12,FALSE)="O",1,""),"")</f>
        <v/>
      </c>
      <c r="K64" s="196" t="str">
        <f>IF(D64&gt;0,IF(VLOOKUP(B64,cennik!A:L,12,FALSE)="O",1,""),"")</f>
        <v/>
      </c>
    </row>
    <row r="65" spans="1:14" ht="12.75" customHeight="1">
      <c r="B65" s="467">
        <v>128842</v>
      </c>
      <c r="C65" s="467" t="str">
        <f>VLOOKUP(B65,cennik!A:C,2,0)</f>
        <v>SEVROLL-VRTÁK STUPŇOVITÝ 6,5/9,5mm</v>
      </c>
      <c r="D65" s="474"/>
      <c r="E65" s="92">
        <f>+VLOOKUP(B65,cennik!$A:$G,3,FALSE)</f>
        <v>23.986910000000002</v>
      </c>
      <c r="F65" s="97">
        <f>+CEILING(D65,1)*E65</f>
        <v>0</v>
      </c>
      <c r="G65" s="93">
        <f>+F65</f>
        <v>0</v>
      </c>
      <c r="H65" s="24" t="str">
        <f>cennik!$B$2</f>
        <v>EUR</v>
      </c>
      <c r="I65" s="483" t="str">
        <f>IFERROR(IF((VLOOKUP(B65,cennik!A:L,12,0))="O",texty!$A$250,""),"")</f>
        <v/>
      </c>
      <c r="J65" s="453" t="str">
        <f>IF(D65&gt;0,IF(VLOOKUP(B65,cennik!A:L,12,FALSE)="O",1,""),"")</f>
        <v/>
      </c>
      <c r="K65" s="196" t="str">
        <f>IF(D65&gt;0,IF(VLOOKUP(B65,cennik!A:L,12,FALSE)="O",1,""),"")</f>
        <v/>
      </c>
    </row>
    <row r="66" spans="1:14" ht="12.75" customHeight="1">
      <c r="A66" s="646" t="str">
        <f>IF(SUM(D49:D50)&gt;0,IF(C7&lt;(B4/3),texty!$A$212,""),"")</f>
        <v/>
      </c>
      <c r="B66" s="646"/>
      <c r="C66" s="646"/>
      <c r="D66" s="646"/>
      <c r="E66" s="646"/>
      <c r="F66" s="646"/>
      <c r="G66" s="646"/>
      <c r="H66" s="646"/>
      <c r="I66" s="646"/>
      <c r="J66" s="468"/>
      <c r="K66" s="483"/>
      <c r="L66" s="21" t="str">
        <f>texty!A128</f>
        <v xml:space="preserve">strieborná </v>
      </c>
      <c r="M66" s="21" t="s">
        <v>2884</v>
      </c>
    </row>
    <row r="67" spans="1:14" ht="12.75" customHeight="1">
      <c r="B67" s="17"/>
      <c r="C67" s="17"/>
      <c r="D67" s="469" t="str">
        <f>texty!$A$15</f>
        <v>CELKOM  (bez DPH)</v>
      </c>
      <c r="E67" s="455"/>
      <c r="F67" s="102">
        <f>SUM(F28:F65)</f>
        <v>137.97126</v>
      </c>
      <c r="G67" s="102">
        <f>SUM(G28:G65)</f>
        <v>137.97126</v>
      </c>
      <c r="H67" s="24" t="str">
        <f>cennik!$B$2</f>
        <v>EUR</v>
      </c>
      <c r="L67" s="21" t="str">
        <f>texty!A130</f>
        <v>oliva</v>
      </c>
      <c r="M67" s="21" t="s">
        <v>45</v>
      </c>
    </row>
    <row r="68" spans="1:14" ht="12.75" customHeight="1">
      <c r="A68" s="456" t="str">
        <f>System10!$A$67</f>
        <v>Vaša poznámka:</v>
      </c>
      <c r="B68" s="650"/>
      <c r="C68" s="651"/>
      <c r="D68" s="651"/>
      <c r="E68" s="651"/>
      <c r="F68" s="651"/>
      <c r="G68" s="652"/>
      <c r="H68" s="24"/>
    </row>
    <row r="69" spans="1:14" ht="12.75" customHeight="1">
      <c r="A69" s="639">
        <f>profil!$U$15</f>
        <v>0</v>
      </c>
      <c r="B69" s="640"/>
      <c r="C69" s="640"/>
      <c r="D69" s="640"/>
      <c r="E69" s="640"/>
      <c r="F69" s="640"/>
      <c r="G69" s="640"/>
      <c r="H69" s="640"/>
      <c r="L69" s="24"/>
    </row>
    <row r="70" spans="1:14" ht="12.75" customHeight="1">
      <c r="A70" s="641" t="str">
        <f>IF(N70=1,texty!$A$215,IF(K70&gt;0,texty!$A$214,""))</f>
        <v/>
      </c>
      <c r="B70" s="641"/>
      <c r="C70" s="641"/>
      <c r="D70" s="641"/>
      <c r="E70" s="641"/>
      <c r="F70" s="641"/>
      <c r="G70" s="641"/>
      <c r="H70" s="641"/>
      <c r="K70" s="24">
        <f>SUM(K28:K65)</f>
        <v>0</v>
      </c>
      <c r="N70" s="21">
        <f>IF(ISERROR(K70),1,0)</f>
        <v>0</v>
      </c>
    </row>
  </sheetData>
  <sheetProtection algorithmName="SHA-512" hashValue="h4j8s4cOAsuzQydN6TnzR0IZE+srGEa0wxgoINdMKfPxwAA5vVQxAywAz+DQ/EAT8kLNzScxLP7yRof5My6ZIQ==" saltValue="MWSJir2YtD3dCaI9PPwvlw==" spinCount="100000" sheet="1" objects="1" scenarios="1"/>
  <mergeCells count="13">
    <mergeCell ref="A70:H70"/>
    <mergeCell ref="U6:U7"/>
    <mergeCell ref="A69:H69"/>
    <mergeCell ref="R6:R7"/>
    <mergeCell ref="S6:S7"/>
    <mergeCell ref="T6:T7"/>
    <mergeCell ref="I19:I20"/>
    <mergeCell ref="I21:I22"/>
    <mergeCell ref="A66:I66"/>
    <mergeCell ref="B68:G68"/>
    <mergeCell ref="G4:I6"/>
    <mergeCell ref="B5:F5"/>
    <mergeCell ref="A14:B15"/>
  </mergeCells>
  <conditionalFormatting sqref="D6">
    <cfRule type="expression" dxfId="227" priority="7">
      <formula>$D$4=4</formula>
    </cfRule>
    <cfRule type="expression" dxfId="226" priority="8">
      <formula>$D$4&lt;&gt;4</formula>
    </cfRule>
  </conditionalFormatting>
  <conditionalFormatting sqref="G4">
    <cfRule type="expression" dxfId="225" priority="6">
      <formula>$D$4=4</formula>
    </cfRule>
  </conditionalFormatting>
  <conditionalFormatting sqref="I19:I20">
    <cfRule type="expression" dxfId="224" priority="19">
      <formula>$F$4=$M$67</formula>
    </cfRule>
  </conditionalFormatting>
  <conditionalFormatting sqref="I21:I22">
    <cfRule type="expression" dxfId="223" priority="27">
      <formula>$F$4=$M$66</formula>
    </cfRule>
  </conditionalFormatting>
  <conditionalFormatting sqref="A14">
    <cfRule type="expression" dxfId="222" priority="3">
      <formula>SUM($D$47:$D$48)&gt;0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E6: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imální výška je 2740 mm" promptTitle="Maximální výška je 2738 mm" sqref="B4" xr:uid="{00000000-0002-0000-0800-000004000000}">
      <formula1>0</formula1>
      <formula2>2740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$M$66:$M$67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4872B8B-EC58-401B-BB21-D60521AC8F73}">
            <xm:f>$I28=texty!$A$250</xm:f>
            <x14:dxf>
              <font>
                <color rgb="FFFF0000"/>
              </font>
            </x14:dxf>
          </x14:cfRule>
          <xm:sqref>I28:I65</xm:sqref>
        </x14:conditionalFormatting>
        <x14:conditionalFormatting xmlns:xm="http://schemas.microsoft.com/office/excel/2006/main">
          <x14:cfRule type="expression" priority="1" id="{56256178-139C-4674-9545-DFC118CDB944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6"/>
  <sheetViews>
    <sheetView showGridLines="0" zoomScale="85" zoomScaleNormal="85" workbookViewId="0">
      <selection activeCell="B4" sqref="B4"/>
    </sheetView>
  </sheetViews>
  <sheetFormatPr baseColWidth="10" defaultColWidth="0" defaultRowHeight="12.75" customHeight="1" zeroHeight="1"/>
  <cols>
    <col min="1" max="1" width="38.83203125" style="5" customWidth="1"/>
    <col min="2" max="2" width="15.83203125" style="5" customWidth="1"/>
    <col min="3" max="3" width="41" style="5" customWidth="1"/>
    <col min="4" max="4" width="14.1640625" style="5" customWidth="1"/>
    <col min="5" max="7" width="14.6640625" style="5" customWidth="1"/>
    <col min="8" max="8" width="4.83203125" style="5" customWidth="1"/>
    <col min="9" max="9" width="24.83203125" style="6" customWidth="1"/>
    <col min="10" max="10" width="12.33203125" style="6" hidden="1" customWidth="1"/>
    <col min="11" max="11" width="19.1640625" style="6" hidden="1" customWidth="1"/>
    <col min="12" max="12" width="9.1640625" style="5" hidden="1" customWidth="1"/>
    <col min="13" max="13" width="18.5" style="5" hidden="1" customWidth="1"/>
    <col min="14" max="14" width="7.5" style="5" hidden="1" customWidth="1"/>
    <col min="15" max="15" width="5.832031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22" ht="13.5" customHeight="1" thickBot="1">
      <c r="A1" s="436"/>
      <c r="B1" s="17"/>
      <c r="C1" s="17"/>
      <c r="D1" s="17"/>
      <c r="E1" s="17"/>
      <c r="F1" s="17"/>
      <c r="G1" s="24"/>
      <c r="H1" s="24"/>
      <c r="I1" s="24"/>
      <c r="L1" s="6">
        <v>2</v>
      </c>
      <c r="M1" s="5">
        <v>-9.75</v>
      </c>
    </row>
    <row r="2" spans="1:22" ht="18.75" customHeight="1">
      <c r="A2" s="538" t="s">
        <v>120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I2" s="24"/>
      <c r="L2" s="6">
        <v>3</v>
      </c>
    </row>
    <row r="3" spans="1:22" ht="29" thickBot="1">
      <c r="A3" s="539" t="str">
        <f>CONCATENATE(texty!A243," ",5,".",50)</f>
        <v>katalóg kovania 2018 str. 5.50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435" t="str">
        <f>+System10!D3</f>
        <v>počet dverí:</v>
      </c>
      <c r="E3" s="435" t="str">
        <f>+System10!E3</f>
        <v>farba</v>
      </c>
      <c r="F3" s="434" t="str">
        <f>texty!B38</f>
        <v>typ spodního vedení</v>
      </c>
      <c r="G3" s="24"/>
      <c r="H3" s="24"/>
      <c r="I3" s="24"/>
      <c r="L3" s="6"/>
    </row>
    <row r="4" spans="1:22" ht="24" customHeight="1">
      <c r="A4" s="437" t="str">
        <f>+System10!$A$4</f>
        <v>VNÚTORNÝ ROZMER SKRINE:</v>
      </c>
      <c r="B4" s="470"/>
      <c r="C4" s="470"/>
      <c r="D4" s="471">
        <v>2</v>
      </c>
      <c r="E4" s="472" t="s">
        <v>748</v>
      </c>
      <c r="F4" s="472" t="s">
        <v>2884</v>
      </c>
      <c r="G4" s="653"/>
      <c r="H4" s="653"/>
      <c r="I4" s="653"/>
      <c r="K4" s="195"/>
      <c r="L4" s="17">
        <f>IF(C4&lt;1701,1700,IF(C4&lt;2351,2350,IF(C4&lt;3001,3000,IF(C4&lt;4051,4050,6000))))</f>
        <v>1700</v>
      </c>
      <c r="M4" s="21"/>
      <c r="N4" s="17">
        <f>IF(C4&lt;1701,1700,IF(C4&lt;2351,2350,IF(C4&lt;3001,3000,IF(C4&lt;4051,4050,6000))))</f>
        <v>1700</v>
      </c>
    </row>
    <row r="5" spans="1:22" ht="18" customHeight="1">
      <c r="B5" s="649" t="str">
        <f>IF(barva=texty!A129,texty!A3,System10!B5)</f>
        <v>vypíšte týchto 5 políčok !!! Údaje v mm</v>
      </c>
      <c r="C5" s="649"/>
      <c r="D5" s="649"/>
      <c r="E5" s="649"/>
      <c r="F5" s="649"/>
      <c r="G5" s="653"/>
      <c r="H5" s="653"/>
      <c r="I5" s="653"/>
      <c r="K5" s="195"/>
      <c r="L5" s="23" t="str">
        <f>CONCATENATE(L4,"-",E4)</f>
        <v>1700-kart. čierna</v>
      </c>
      <c r="M5" s="21"/>
      <c r="N5" s="23" t="str">
        <f>CONCATENATE(N4,"-",E4,", ",F4)</f>
        <v>1700-kart. čierna, Elegant II</v>
      </c>
    </row>
    <row r="6" spans="1:22" ht="18" customHeight="1">
      <c r="A6" s="437"/>
      <c r="B6" s="445" t="str">
        <f>IF(D4=4,texty!A227,"")</f>
        <v/>
      </c>
      <c r="C6" s="21"/>
      <c r="D6" s="457">
        <v>3</v>
      </c>
      <c r="E6" s="17"/>
      <c r="F6" s="17"/>
      <c r="G6" s="653"/>
      <c r="H6" s="653"/>
      <c r="I6" s="653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437" t="s">
        <v>8</v>
      </c>
      <c r="B7" s="57">
        <f>+B4-40</f>
        <v>-40</v>
      </c>
      <c r="C7" s="59">
        <f>+((C4-3+(36*(D4-1)))/D4+IF(AND(D4=4,D6=2),M1,0))</f>
        <v>16.5</v>
      </c>
      <c r="D7" s="17"/>
      <c r="E7" s="17"/>
      <c r="F7" s="17"/>
      <c r="G7" s="448" t="str">
        <f>texty!$A$39</f>
        <v>V prípade použitia skla ako výplne</v>
      </c>
      <c r="H7" s="24"/>
      <c r="I7" s="24"/>
      <c r="L7" s="6"/>
      <c r="O7" s="17">
        <f>IF(L11="jiné",M12,L11)</f>
        <v>1700</v>
      </c>
      <c r="P7" s="21" t="str">
        <f>+E4</f>
        <v>kart. čierna</v>
      </c>
      <c r="R7" s="645"/>
      <c r="S7" s="645"/>
      <c r="T7" s="645"/>
      <c r="U7" s="645"/>
    </row>
    <row r="8" spans="1:22" ht="12.75" customHeight="1">
      <c r="A8" s="437" t="s">
        <v>9</v>
      </c>
      <c r="B8" s="57">
        <f>+B7-64</f>
        <v>-104</v>
      </c>
      <c r="C8" s="59">
        <f>+C7-20</f>
        <v>-3.5</v>
      </c>
      <c r="D8" s="17"/>
      <c r="E8" s="17"/>
      <c r="F8" s="17"/>
      <c r="G8" s="448" t="str">
        <f>texty!$A$40</f>
        <v>je treba použiť bezpečnostné sklo</v>
      </c>
      <c r="H8" s="24"/>
      <c r="I8" s="24"/>
      <c r="L8" s="6" t="s">
        <v>73</v>
      </c>
      <c r="M8" s="5" t="s">
        <v>74</v>
      </c>
      <c r="O8" s="23" t="str">
        <f>CONCATENATE(O7,"-",E4)</f>
        <v>1700-kart. čierna</v>
      </c>
      <c r="P8" s="21"/>
      <c r="Q8" s="5">
        <v>1</v>
      </c>
      <c r="R8" s="164">
        <f>$C$10+5</f>
        <v>-15.5</v>
      </c>
      <c r="S8" s="5">
        <f>FLOOR(1700/R8,1)</f>
        <v>-110</v>
      </c>
      <c r="T8" s="5">
        <f>FLOOR(2350/R8,1)</f>
        <v>-152</v>
      </c>
      <c r="U8" s="5">
        <f>FLOOR(3000/R8,1)</f>
        <v>-194</v>
      </c>
    </row>
    <row r="9" spans="1:22" ht="12.75" customHeight="1">
      <c r="A9" s="437" t="s">
        <v>10</v>
      </c>
      <c r="B9" s="57">
        <f>+B8</f>
        <v>-104</v>
      </c>
      <c r="C9" s="59">
        <f>+C8-4</f>
        <v>-7.5</v>
      </c>
      <c r="D9" s="17"/>
      <c r="E9" s="17"/>
      <c r="F9" s="17"/>
      <c r="G9" s="448" t="str">
        <f>texty!$A$41</f>
        <v>alebo sklo zabezpečiť ochrannou fóliou</v>
      </c>
      <c r="H9" s="24"/>
      <c r="I9" s="24"/>
      <c r="L9" s="37">
        <f>C10*D4</f>
        <v>-41</v>
      </c>
      <c r="M9" s="36">
        <f>(D4+1)*5</f>
        <v>15</v>
      </c>
      <c r="Q9" s="5">
        <v>2</v>
      </c>
      <c r="R9" s="164">
        <f t="shared" ref="R9:R14" si="0">R8+$C$10+5</f>
        <v>-31</v>
      </c>
      <c r="S9" s="5">
        <f>(1700-C10)*S17</f>
        <v>-1720.5</v>
      </c>
      <c r="T9" s="5">
        <f>(2350-C10)*T17</f>
        <v>-2370.5</v>
      </c>
      <c r="U9" s="5">
        <f>(3000-C10)*U17</f>
        <v>-3020.5</v>
      </c>
      <c r="V9" s="5" t="s">
        <v>651</v>
      </c>
    </row>
    <row r="10" spans="1:22" ht="12.75" customHeight="1">
      <c r="A10" s="437" t="s">
        <v>11</v>
      </c>
      <c r="B10" s="57"/>
      <c r="C10" s="60">
        <f>+C7-37</f>
        <v>-20.5</v>
      </c>
      <c r="D10" s="17"/>
      <c r="E10" s="17"/>
      <c r="F10" s="17"/>
      <c r="G10" s="449"/>
      <c r="H10" s="24"/>
      <c r="I10" s="24"/>
      <c r="L10" s="5" t="s">
        <v>72</v>
      </c>
      <c r="O10" s="17" t="str">
        <f>IF(L11="jiné",M13,"")</f>
        <v/>
      </c>
      <c r="P10" s="21" t="str">
        <f>+E4</f>
        <v>kart. čierna</v>
      </c>
      <c r="Q10" s="5">
        <v>3</v>
      </c>
      <c r="R10" s="164">
        <f t="shared" si="0"/>
        <v>-46.5</v>
      </c>
    </row>
    <row r="11" spans="1:22" ht="12.75" customHeight="1">
      <c r="A11" s="437" t="s">
        <v>12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I11" s="24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>-kart. čierna</v>
      </c>
      <c r="P11" s="21"/>
      <c r="Q11" s="5">
        <v>4</v>
      </c>
      <c r="R11" s="164">
        <f t="shared" si="0"/>
        <v>-62</v>
      </c>
    </row>
    <row r="12" spans="1:22" ht="12.75" customHeight="1">
      <c r="A12" s="437" t="s">
        <v>41</v>
      </c>
      <c r="B12" s="502">
        <f>+B7</f>
        <v>-40</v>
      </c>
      <c r="C12" s="503"/>
      <c r="D12" s="17"/>
      <c r="E12" s="17"/>
      <c r="F12" s="17"/>
      <c r="G12" s="24"/>
      <c r="H12" s="24"/>
      <c r="I12" s="24"/>
      <c r="L12" s="6">
        <f>C10*(D4-1)+(D4*5)</f>
        <v>-10.5</v>
      </c>
      <c r="M12" s="5">
        <f>IF(L12&lt;1700,1700,IF(L12&lt;2350,2350,IF(L12&lt;3000,3000,3000)))</f>
        <v>1700</v>
      </c>
      <c r="N12" s="5">
        <f>M12-L12</f>
        <v>1710.5</v>
      </c>
      <c r="Q12" s="5">
        <v>5</v>
      </c>
      <c r="R12" s="164">
        <f t="shared" si="0"/>
        <v>-77.5</v>
      </c>
    </row>
    <row r="13" spans="1:22" ht="12.75" customHeight="1">
      <c r="A13" s="438" t="str">
        <f>System10!A13</f>
        <v>Dĺžka tesnenia na sklo na jednom krídle</v>
      </c>
      <c r="B13" s="65"/>
      <c r="C13" s="505">
        <f>ROUND(B8*2+C9*2,0)</f>
        <v>-223</v>
      </c>
      <c r="D13" s="17"/>
      <c r="E13" s="17"/>
      <c r="F13" s="17"/>
      <c r="G13" s="24"/>
      <c r="H13" s="24"/>
      <c r="I13" s="24"/>
      <c r="L13" s="35">
        <f>C10+10</f>
        <v>-10.5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5">
        <f>M13-L13</f>
        <v>1710.5</v>
      </c>
      <c r="Q13" s="5">
        <v>6</v>
      </c>
      <c r="R13" s="164">
        <f t="shared" si="0"/>
        <v>-93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I14" s="24"/>
      <c r="L14" s="6"/>
      <c r="M14" s="5">
        <f>SUM(M12:M13)</f>
        <v>3400</v>
      </c>
      <c r="N14" s="5">
        <f>SUM(N12:N13)</f>
        <v>3421</v>
      </c>
      <c r="Q14" s="5">
        <v>7</v>
      </c>
      <c r="R14" s="164">
        <f t="shared" si="0"/>
        <v>-108.5</v>
      </c>
    </row>
    <row r="15" spans="1:22" ht="17.25" customHeight="1">
      <c r="A15" s="644"/>
      <c r="B15" s="644"/>
      <c r="C15" s="504"/>
      <c r="D15" s="17"/>
      <c r="E15" s="17"/>
      <c r="F15" s="17"/>
      <c r="G15" s="24"/>
      <c r="H15" s="24"/>
      <c r="I15" s="24"/>
      <c r="L15" s="6"/>
      <c r="R15" s="164"/>
    </row>
    <row r="16" spans="1:22" ht="13">
      <c r="A16" s="436"/>
      <c r="B16" s="17"/>
      <c r="C16" s="504"/>
      <c r="D16" s="17"/>
      <c r="E16" s="17"/>
      <c r="F16" s="17"/>
      <c r="G16" s="24"/>
      <c r="H16" s="24"/>
      <c r="I16" s="24"/>
      <c r="L16" s="6"/>
      <c r="R16" s="164"/>
    </row>
    <row r="17" spans="1:22" ht="12.75" customHeight="1">
      <c r="B17" s="17"/>
      <c r="C17" s="447"/>
      <c r="D17" s="17"/>
      <c r="E17" s="17"/>
      <c r="F17" s="17"/>
      <c r="G17" s="24"/>
      <c r="H17" s="24"/>
      <c r="I17" s="24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2" ht="12.75" customHeight="1">
      <c r="A18" s="436"/>
      <c r="B18" s="17"/>
      <c r="C18" s="447"/>
      <c r="D18" s="17"/>
      <c r="E18" s="17"/>
      <c r="F18" s="17"/>
      <c r="G18" s="24"/>
      <c r="H18" s="24"/>
      <c r="I18" s="24"/>
      <c r="L18" s="6"/>
    </row>
    <row r="19" spans="1:22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6"/>
    </row>
    <row r="20" spans="1:22" ht="16.5" customHeight="1">
      <c r="A20" s="436"/>
      <c r="B20" s="17"/>
      <c r="C20" s="17"/>
      <c r="D20" s="21"/>
      <c r="E20" s="17"/>
      <c r="F20" s="17"/>
      <c r="G20" s="24"/>
      <c r="H20" s="24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2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6"/>
      <c r="Q21" s="5">
        <v>1</v>
      </c>
      <c r="R21" s="5">
        <f>S8</f>
        <v>-110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2" ht="12.75" customHeight="1">
      <c r="A22" s="436"/>
      <c r="B22" s="17"/>
      <c r="C22" s="17"/>
      <c r="D22" s="17"/>
      <c r="E22" s="17"/>
      <c r="F22" s="17"/>
      <c r="G22" s="24"/>
      <c r="H22" s="24"/>
      <c r="I22" s="648"/>
      <c r="L22" s="3"/>
      <c r="Q22" s="5">
        <v>2</v>
      </c>
      <c r="R22" s="5">
        <f>T8</f>
        <v>-152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2" ht="12.75" customHeight="1">
      <c r="A23" s="436"/>
      <c r="B23" s="17"/>
      <c r="C23" s="17"/>
      <c r="D23" s="17"/>
      <c r="E23" s="17"/>
      <c r="F23" s="17"/>
      <c r="G23" s="24"/>
      <c r="H23" s="24"/>
      <c r="I23" s="24"/>
      <c r="Q23" s="5">
        <v>3</v>
      </c>
      <c r="R23" s="5">
        <f>U8</f>
        <v>-194</v>
      </c>
      <c r="S23" s="5" t="str">
        <f>IF(R23&gt;=D4,IF(R22&gt;=D4,"",1),"")</f>
        <v/>
      </c>
      <c r="V23" s="168" t="str">
        <f>IF(S23=1,1,"")</f>
        <v/>
      </c>
    </row>
    <row r="24" spans="1:22" ht="12.75" customHeight="1">
      <c r="A24" s="436"/>
      <c r="B24" s="17"/>
      <c r="C24" s="17"/>
      <c r="D24" s="17"/>
      <c r="E24" s="17"/>
      <c r="F24" s="17"/>
      <c r="G24" s="24"/>
      <c r="H24" s="24"/>
      <c r="I24" s="24"/>
      <c r="L24" s="5" t="str">
        <f>CONCATENATE(N24,"-",$P$7)</f>
        <v>1700-kart. čierna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-262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2" ht="12.75" customHeight="1">
      <c r="A25" s="436"/>
      <c r="B25" s="17"/>
      <c r="C25" s="21"/>
      <c r="D25" s="17"/>
      <c r="E25" s="17"/>
      <c r="F25" s="17"/>
      <c r="G25" s="452" t="str">
        <f>texty!$A$21</f>
        <v>partnerská zľava:</v>
      </c>
      <c r="H25" s="24"/>
      <c r="I25" s="24"/>
      <c r="L25" s="5" t="str">
        <f>CONCATENATE(N25,"-",$P$7)</f>
        <v>2350-kart. čierna</v>
      </c>
      <c r="M25" s="6">
        <f>SUM(U21:U32)</f>
        <v>0</v>
      </c>
      <c r="N25" s="5">
        <v>2350</v>
      </c>
      <c r="Q25" s="5" t="s">
        <v>689</v>
      </c>
      <c r="R25" s="5">
        <f>T8+T8</f>
        <v>-304</v>
      </c>
      <c r="S25" s="5" t="str">
        <f>IF(R25&gt;=D4,IF(SUM(S21:S24)&gt;0,"",1),"")</f>
        <v/>
      </c>
      <c r="U25" s="168" t="str">
        <f>IF(S25=1,2,"")</f>
        <v/>
      </c>
    </row>
    <row r="26" spans="1:22" ht="12.75" customHeight="1">
      <c r="A26" s="441" t="str">
        <f>+System10!$A$26</f>
        <v>Objednávacie kódy, ceny:</v>
      </c>
      <c r="B26" s="17"/>
      <c r="C26" s="21"/>
      <c r="D26" s="17"/>
      <c r="E26" s="17"/>
      <c r="F26" s="17"/>
      <c r="G26" s="388">
        <f>profil!C15</f>
        <v>0</v>
      </c>
      <c r="H26" s="454" t="s">
        <v>70</v>
      </c>
      <c r="I26" s="24"/>
      <c r="L26" s="5" t="str">
        <f>CONCATENATE(N26,"-",$P$7)</f>
        <v>3000-kart. čierna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-304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2" ht="12.75" customHeight="1">
      <c r="A27" s="436"/>
      <c r="B27" s="19" t="s">
        <v>3</v>
      </c>
      <c r="C27" s="20" t="str">
        <f>texty!$A$16</f>
        <v>názov</v>
      </c>
      <c r="D27" s="19" t="str">
        <f>texty!$A$17</f>
        <v>ks</v>
      </c>
      <c r="E27" s="19" t="str">
        <f>texty!$A$18</f>
        <v>cena/ks</v>
      </c>
      <c r="F27" s="19" t="str">
        <f>texty!$A$19</f>
        <v>cena celkom</v>
      </c>
      <c r="G27" s="20" t="str">
        <f>texty!$A$20</f>
        <v>celkom netto:</v>
      </c>
      <c r="H27" s="24"/>
      <c r="I27" s="20" t="str">
        <f>texty!A29</f>
        <v>Poznámka:</v>
      </c>
      <c r="K27" s="18"/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-346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2" ht="12.75" customHeight="1">
      <c r="A28" s="436" t="str">
        <f>+System10!$A$28</f>
        <v>Horný profil:</v>
      </c>
      <c r="B28" s="16">
        <f>+VLOOKUP(L5,data!$C$176:$D$219,2,0)</f>
        <v>205163</v>
      </c>
      <c r="C28" s="25" t="str">
        <f>+VLOOKUP(B28,cennik!$A:$G,2,FALSE)</f>
        <v>SEVROLL Gemini horné vedenie 1,7m čierna kar</v>
      </c>
      <c r="D28" s="17">
        <f>IF(B28="N/A",0,1)</f>
        <v>1</v>
      </c>
      <c r="E28" s="92">
        <f>+VLOOKUP(B28,cennik!$A:$G,3,FALSE)</f>
        <v>25.984110000000001</v>
      </c>
      <c r="F28" s="92">
        <f t="shared" ref="F28:F39" si="1">+E28*D28</f>
        <v>25.984110000000001</v>
      </c>
      <c r="G28" s="93">
        <f>+F28*(100-$G$26)/100</f>
        <v>25.984110000000001</v>
      </c>
      <c r="H28" s="24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-388</v>
      </c>
      <c r="S28" s="5" t="str">
        <f>IF(R28&gt;=D4,IF(SUM(S21:S27)&gt;0,"",1),"")</f>
        <v/>
      </c>
      <c r="V28" s="168" t="str">
        <f>IF(S28=1,2,"")</f>
        <v/>
      </c>
    </row>
    <row r="29" spans="1:22" ht="12.75" customHeight="1">
      <c r="A29" s="436" t="str">
        <f>+System10!$A$29</f>
        <v>spodný profil:</v>
      </c>
      <c r="B29" s="16">
        <f>+VLOOKUP(N5,data!$C$4:$D$83,2,0)</f>
        <v>205090</v>
      </c>
      <c r="C29" s="25" t="str">
        <f>IF($B$29=data!$D$54,texty!$A$239,+VLOOKUP($B$29,cennik!$A:$G,2,FALSE))</f>
        <v>SEVROLL Elegant sp.ved.1,7m čierna kartáč.</v>
      </c>
      <c r="D29" s="17">
        <v>1</v>
      </c>
      <c r="E29" s="92">
        <f>IF(B29=data!$D$63,0,+VLOOKUP(B29,cennik!$A:$G,3,FALSE))</f>
        <v>15.137309999999999</v>
      </c>
      <c r="F29" s="92">
        <f t="shared" si="1"/>
        <v>15.137309999999999</v>
      </c>
      <c r="G29" s="93">
        <f>+F29*(100-$F$26)/100</f>
        <v>15.137309999999999</v>
      </c>
      <c r="H29" s="24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>3000-kart. čierna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-330</v>
      </c>
      <c r="S29" s="5" t="str">
        <f>IF(R29&gt;=D4,IF(SUM(S21:S28)&gt;0,"",1),"")</f>
        <v/>
      </c>
      <c r="T29" s="168" t="str">
        <f>IF(S29=1,3,"")</f>
        <v/>
      </c>
    </row>
    <row r="30" spans="1:22" ht="12.75" customHeight="1">
      <c r="A30" s="436" t="str">
        <f>+System10!$A$30</f>
        <v>krycí profil (maska):</v>
      </c>
      <c r="B30" s="16">
        <f>+VLOOKUP(N5,data!$C$90:$D$175,2,0)</f>
        <v>345403</v>
      </c>
      <c r="C30" s="25" t="str">
        <f>IF($B$30=data!$D$54,texty!$A$239,+VLOOKUP($B$30,cennik!$A:$G,2,FALSE))</f>
        <v>SEVROLL uholník K2 1,7m čierna kartáč</v>
      </c>
      <c r="D30" s="17">
        <v>1</v>
      </c>
      <c r="E30" s="92">
        <f>IF(B30=data!$D$63,0,+VLOOKUP(B30,cennik!$A:$G,3,FALSE))</f>
        <v>4.5315500000000002</v>
      </c>
      <c r="F30" s="92">
        <f t="shared" si="1"/>
        <v>4.5315500000000002</v>
      </c>
      <c r="G30" s="93">
        <f t="shared" ref="G30:G39" si="2">+F30*(100-$G$26)/100</f>
        <v>4.5315500000000002</v>
      </c>
      <c r="H30" s="24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-414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2" ht="12.75" customHeight="1">
      <c r="A31" s="436" t="str">
        <f>+System10!$A$31</f>
        <v>horné vozíky (sady)</v>
      </c>
      <c r="B31" s="16">
        <v>89265</v>
      </c>
      <c r="C31" s="25" t="str">
        <f>+VLOOKUP(B31,cennik!$A$3:$G$984,2,FALSE)</f>
        <v>SEVROLL horný vozík 10mm asymetr.(L+P)</v>
      </c>
      <c r="D31" s="17">
        <f>IF((D50+D51)&gt;D4,0,D4-(D50+D51))</f>
        <v>2</v>
      </c>
      <c r="E31" s="92">
        <f>+VLOOKUP(B31,cennik!$A:$G,3,FALSE)</f>
        <v>5.7608600000000001</v>
      </c>
      <c r="F31" s="92">
        <f t="shared" si="1"/>
        <v>11.52172</v>
      </c>
      <c r="G31" s="93">
        <f t="shared" si="2"/>
        <v>11.52172</v>
      </c>
      <c r="H31" s="24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-456</v>
      </c>
      <c r="S31" s="5" t="str">
        <f>IF(R31&gt;=D4,IF(SUM(S21:S30)&gt;0,"",1),"")</f>
        <v/>
      </c>
      <c r="U31" s="168" t="str">
        <f>IF(S31=1,3,"")</f>
        <v/>
      </c>
    </row>
    <row r="32" spans="1:22" ht="12.75" customHeight="1">
      <c r="A32" s="436" t="str">
        <f>+System10!$A$32</f>
        <v>spodné vozíky (sada)</v>
      </c>
      <c r="B32" s="16">
        <f>IF(F4=M68,328321,229441)</f>
        <v>328321</v>
      </c>
      <c r="C32" s="25" t="str">
        <f>+VLOOKUP(B32,cennik!$A:$G,2,FALSE)</f>
        <v>SEV-spodní vozík WD10 V 2ks bez pozicionéru</v>
      </c>
      <c r="D32" s="17">
        <f>+D4</f>
        <v>2</v>
      </c>
      <c r="E32" s="92">
        <f>+VLOOKUP(B32,cennik!$A:$G,3,FALSE)</f>
        <v>6.1947299999999998</v>
      </c>
      <c r="F32" s="92">
        <f t="shared" si="1"/>
        <v>12.38946</v>
      </c>
      <c r="G32" s="93">
        <f t="shared" si="2"/>
        <v>12.38946</v>
      </c>
      <c r="H32" s="24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-498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2" ht="12.75" customHeight="1">
      <c r="A33" s="436" t="str">
        <f>+System10!$A$33</f>
        <v>dorazový kartáč</v>
      </c>
      <c r="B33" s="16">
        <f>+VLOOKUP(L48,data!$C$695:$D$713,2,0)</f>
        <v>409700</v>
      </c>
      <c r="C33" s="25" t="str">
        <f>+VLOOKUP(B33,cennik!$A:$G,2,FALSE)</f>
        <v>SEVROLL doraz.kratáč zásuvný čierny 14x4mm</v>
      </c>
      <c r="D33" s="17">
        <f>CEILING((B4*D4*2/1000),1)</f>
        <v>0</v>
      </c>
      <c r="E33" s="92">
        <f>+VLOOKUP(B33,cennik!$A:$G,3,FALSE)</f>
        <v>0.41025</v>
      </c>
      <c r="F33" s="92">
        <f t="shared" si="1"/>
        <v>0</v>
      </c>
      <c r="G33" s="93">
        <f t="shared" si="2"/>
        <v>0</v>
      </c>
      <c r="H33" s="24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  <c r="L33" s="6"/>
    </row>
    <row r="34" spans="1:12" ht="12.75" customHeight="1">
      <c r="A34" s="436" t="str">
        <f>+System10!$A$34</f>
        <v>úchytková lišta</v>
      </c>
      <c r="B34" s="16">
        <f>+VLOOKUP(P7,data!$C$588:$D$596,2,0)</f>
        <v>205077</v>
      </c>
      <c r="C34" s="25" t="str">
        <f>+VLOOKUP(B34,cennik!$A:$G,2,FALSE)</f>
        <v>SEVROLL Fox II úch.lišta 2,7m čierna kartáč.</v>
      </c>
      <c r="D34" s="17">
        <f>IF(B12&lt;=1347,D4*2/2,D4*2)</f>
        <v>2</v>
      </c>
      <c r="E34" s="92">
        <f>+VLOOKUP(B34,cennik!$A:$G,3,FALSE)</f>
        <v>25.333300000000001</v>
      </c>
      <c r="F34" s="92">
        <f t="shared" si="1"/>
        <v>50.666600000000003</v>
      </c>
      <c r="G34" s="93">
        <f t="shared" si="2"/>
        <v>50.666599999999995</v>
      </c>
      <c r="H34" s="24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436" t="str">
        <f>+System10!$A$35</f>
        <v>spojovacia skrutka</v>
      </c>
      <c r="B35" s="16">
        <v>89244</v>
      </c>
      <c r="C35" s="25" t="str">
        <f>+VLOOKUP(B35,cennik!$A:$G,2,FALSE)</f>
        <v>SEVROLL šroubovrut 6,3*32 -Sevroll a Simple</v>
      </c>
      <c r="D35" s="17">
        <f>+D4*4</f>
        <v>8</v>
      </c>
      <c r="E35" s="92">
        <f>+VLOOKUP(B35,cennik!$A:$G,3,FALSE)</f>
        <v>0.14462</v>
      </c>
      <c r="F35" s="92">
        <f t="shared" si="1"/>
        <v>1.15696</v>
      </c>
      <c r="G35" s="93">
        <f t="shared" si="2"/>
        <v>1.15696</v>
      </c>
      <c r="H35" s="24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3"/>
    </row>
    <row r="36" spans="1:12" ht="12.75" customHeight="1">
      <c r="A36" s="436" t="str">
        <f>+System10!$A$36</f>
        <v>horný profil rámu (vodiaca lišta)</v>
      </c>
      <c r="B36" s="16">
        <f>+VLOOKUP(M29,data!C262:D293,2,0)</f>
        <v>205159</v>
      </c>
      <c r="C36" s="25" t="str">
        <f>+VLOOKUP(B36,cennik!$A:$G,2,FALSE)</f>
        <v>SEVROLL VODIACA LIŠTA 3M čierna KARTÁČ.</v>
      </c>
      <c r="D36" s="65">
        <f>N29</f>
        <v>0</v>
      </c>
      <c r="E36" s="92">
        <f>+VLOOKUP(B36,cennik!$A:$G,3,FALSE)</f>
        <v>25.558620000000001</v>
      </c>
      <c r="F36" s="92">
        <f t="shared" si="1"/>
        <v>0</v>
      </c>
      <c r="G36" s="93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3" t="s">
        <v>15</v>
      </c>
    </row>
    <row r="37" spans="1:12" ht="12.75" customHeight="1">
      <c r="A37" s="436" t="str">
        <f>+System10!$A$36</f>
        <v>horný profil rámu (vodiaca lišta)</v>
      </c>
      <c r="B37" s="24" t="str">
        <f>IF(M30&lt;&gt;"jiné",+VLOOKUP(M30,data!C262:D287,2,0),"")</f>
        <v/>
      </c>
      <c r="C37" s="460" t="str">
        <f>IF(M30&lt;&gt;"jiné",+VLOOKUP(B37,cennik!$A$3:$G$984,2,FALSE),texty!$A$2)</f>
        <v>druhá lišta nieje potrebná</v>
      </c>
      <c r="D37" s="65">
        <f>N30</f>
        <v>0</v>
      </c>
      <c r="E37" s="461">
        <f>IF(M30&lt;&gt;"jiné",+VLOOKUP(B37,cennik!$A:$G,3,FALSE),0)</f>
        <v>0</v>
      </c>
      <c r="F37" s="92">
        <f t="shared" si="1"/>
        <v>0</v>
      </c>
      <c r="G37" s="93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 t="s">
        <v>15</v>
      </c>
    </row>
    <row r="38" spans="1:12" ht="12.75" customHeight="1">
      <c r="A38" s="436" t="str">
        <f>+System10!A38</f>
        <v>horizontálny spodný profil rámu</v>
      </c>
      <c r="B38" s="16">
        <f>+VLOOKUP(M29,data!$C$315:$D$346,2,0)</f>
        <v>205175</v>
      </c>
      <c r="C38" s="25" t="str">
        <f>+VLOOKUP(B38,cennik!$A:$G,2,FALSE)</f>
        <v>SEVROLL spod.krycia lišta 3m čierna kartáč</v>
      </c>
      <c r="D38" s="65">
        <f>N29</f>
        <v>0</v>
      </c>
      <c r="E38" s="92">
        <f>+VLOOKUP(B38,cennik!$A:$G,3,FALSE)</f>
        <v>36.493459999999999</v>
      </c>
      <c r="F38" s="92">
        <f t="shared" si="1"/>
        <v>0</v>
      </c>
      <c r="G38" s="93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 t="s">
        <v>15</v>
      </c>
    </row>
    <row r="39" spans="1:12" ht="12.75" customHeight="1">
      <c r="A39" s="436" t="str">
        <f>+System10!A39</f>
        <v>horizontálny spodný profil rámu</v>
      </c>
      <c r="B39" s="24" t="str">
        <f>IF(M30&lt;&gt;"jiné",+VLOOKUP(M30,data!$C$315:$D$337,2,0),"")</f>
        <v/>
      </c>
      <c r="C39" s="25" t="str">
        <f>IF(M30&lt;&gt;"jiné",+VLOOKUP(B39,cennik!$A$3:$G$984,2,FALSE),texty!A2)</f>
        <v>druhá lišta nieje potrebná</v>
      </c>
      <c r="D39" s="65">
        <f>N30</f>
        <v>0</v>
      </c>
      <c r="E39" s="461">
        <f>IF(M30&lt;&gt;"jiné",+VLOOKUP(B39,cennik!$A:$G,3,FALSE),0)</f>
        <v>0</v>
      </c>
      <c r="F39" s="92">
        <f t="shared" si="1"/>
        <v>0</v>
      </c>
      <c r="G39" s="93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 t="s">
        <v>15</v>
      </c>
    </row>
    <row r="40" spans="1:12" ht="12.75" customHeight="1">
      <c r="A40" s="21"/>
      <c r="B40" s="21"/>
      <c r="C40" s="21"/>
      <c r="D40" s="21"/>
      <c r="E40" s="375"/>
      <c r="F40" s="375"/>
      <c r="G40" s="375"/>
      <c r="H40" s="24"/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 t="s">
        <v>16</v>
      </c>
    </row>
    <row r="41" spans="1:12" ht="12.75" customHeight="1">
      <c r="A41" s="441" t="str">
        <f>texty!$A$66</f>
        <v>Voliteľné príslušenstvo:</v>
      </c>
      <c r="B41" s="16"/>
      <c r="C41" s="21"/>
      <c r="D41" s="462" t="str">
        <f>System10!$D$41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K41" s="196"/>
      <c r="L41" s="3" t="s">
        <v>16</v>
      </c>
    </row>
    <row r="42" spans="1:12" ht="12.75" customHeight="1">
      <c r="A42" s="436" t="str">
        <f>texty!$A$88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7">
        <f t="shared" ref="F42:F51" si="3">+CEILING(D42,1)*E42</f>
        <v>0</v>
      </c>
      <c r="G42" s="93">
        <f t="shared" ref="G42:G48" si="4"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K42" s="196"/>
      <c r="L42" s="3"/>
    </row>
    <row r="43" spans="1:12" ht="12.75" customHeight="1">
      <c r="A43" s="436" t="str">
        <f>+System10!$A$43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387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5"/>
      <c r="K43" s="196" t="str">
        <f>IF(D43&gt;0,IF(VLOOKUP(B43,cennik!A:L,12,FALSE)="O",1,""),"")</f>
        <v/>
      </c>
      <c r="L43" s="6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5"/>
      <c r="K44" s="196" t="str">
        <f>IF(D44&gt;0,IF(VLOOKUP(B44,cennik!A:L,12,FALSE)="O",1,""),"")</f>
        <v/>
      </c>
      <c r="L44" s="6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5"/>
      <c r="K45" s="196" t="str">
        <f>IF(D45&gt;0,IF(VLOOKUP(B45,cennik!A:L,12,FALSE)="O",1,""),"")</f>
        <v/>
      </c>
      <c r="L45" s="6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5"/>
      <c r="K46" s="196" t="str">
        <f>IF(D46&gt;0,IF(VLOOKUP(B46,cennik!A:L,12,FALSE)="O",1,""),"")</f>
        <v/>
      </c>
      <c r="L46" s="6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5"/>
      <c r="K47" s="196" t="str">
        <f>IF(D47&gt;0,IF(VLOOKUP(B47,cennik!A:L,12,FALSE)="O",1,""),"")</f>
        <v/>
      </c>
      <c r="L47" s="5">
        <v>14.5</v>
      </c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5"/>
      <c r="K48" s="196" t="str">
        <f>IF(D48&gt;0,IF(VLOOKUP(B48,cennik!A:L,12,FALSE)="O",1,""),"")</f>
        <v/>
      </c>
      <c r="L48" s="5" t="str">
        <f>CONCATENATE(L47,"-",E4)</f>
        <v>14,5-kart. čierna</v>
      </c>
    </row>
    <row r="49" spans="1:12" ht="12.75" customHeight="1">
      <c r="A49" s="436" t="str">
        <f>CONCATENATE(texty!A179,)</f>
        <v>skrutka k spodnémi vedeniu</v>
      </c>
      <c r="B49" s="16">
        <v>98019</v>
      </c>
      <c r="C49" s="25" t="str">
        <f>+VLOOKUP(B49,cennik!$A:$G,2,FALSE)</f>
        <v>SEVROLL-skrutka 2,5*18MM</v>
      </c>
      <c r="D49" s="387"/>
      <c r="E49" s="92">
        <f>+VLOOKUP(B49,cennik!$A:$G,3,FALSE)</f>
        <v>2.8680000000000001E-2</v>
      </c>
      <c r="F49" s="97">
        <f t="shared" si="3"/>
        <v>0</v>
      </c>
      <c r="G49" s="93">
        <f t="shared" ref="G49:G55" si="5">+F49*(100-$G$26)/100</f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5"/>
      <c r="K49" s="196" t="str">
        <f>IF(D49&gt;0,IF(VLOOKUP(B49,cennik!A:L,12,FALSE)="O",1,""),"")</f>
        <v/>
      </c>
      <c r="L49" s="3"/>
    </row>
    <row r="50" spans="1:12" ht="12.75" customHeight="1">
      <c r="A50" s="436" t="str">
        <f>System10!A49</f>
        <v>tlmič dorazu (pár) 25 kg</v>
      </c>
      <c r="B50" s="24">
        <v>227185</v>
      </c>
      <c r="C50" s="25" t="str">
        <f>+VLOOKUP(B50,cennik!$A:$G,2,FALSE)</f>
        <v>K-SEVROLL tlmič dorazu 10/18mm 14-25kg(L+P)</v>
      </c>
      <c r="D50" s="387"/>
      <c r="E50" s="92">
        <f>+VLOOKUP(B50,cennik!$A:$G,3,FALSE)</f>
        <v>0</v>
      </c>
      <c r="F50" s="97">
        <f t="shared" si="3"/>
        <v>0</v>
      </c>
      <c r="G50" s="93">
        <f t="shared" si="5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5"/>
      <c r="K50" s="196" t="str">
        <f>IF(D50&gt;0,IF(VLOOKUP(B50,cennik!A:L,12,FALSE)="O",1,""),"")</f>
        <v/>
      </c>
      <c r="L50" s="6"/>
    </row>
    <row r="51" spans="1:12" ht="12.5" customHeight="1">
      <c r="A51" s="436" t="str">
        <f>texty!$A$98</f>
        <v>tlmič dorazu (pár) 50 kg</v>
      </c>
      <c r="B51" s="24">
        <v>227187</v>
      </c>
      <c r="C51" s="25" t="str">
        <f>+VLOOKUP(B51,cennik!$A:$G,2,FALSE)</f>
        <v>K-SEVROLL tlmič dorazu 10/18mm 25-50kg(L+P)</v>
      </c>
      <c r="D51" s="387"/>
      <c r="E51" s="92">
        <f>+VLOOKUP(B51,cennik!$A:$G,3,FALSE)</f>
        <v>0</v>
      </c>
      <c r="F51" s="97">
        <f t="shared" si="3"/>
        <v>0</v>
      </c>
      <c r="G51" s="93">
        <f t="shared" si="5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5"/>
      <c r="K51" s="196" t="str">
        <f>IF(D51&gt;0,IF(VLOOKUP(B51,cennik!A:L,12,FALSE)="O",1,""),"")</f>
        <v/>
      </c>
    </row>
    <row r="52" spans="1:12" ht="12.75" customHeight="1">
      <c r="A52" s="436" t="str">
        <f>System10!A51</f>
        <v>spojovací profil H10-3metre</v>
      </c>
      <c r="B52" s="16">
        <f>+VLOOKUP(P7,data!C390:D399,2,0)</f>
        <v>205161</v>
      </c>
      <c r="C52" s="25" t="str">
        <f>+VLOOKUP(B52,cennik!$A:$G,2,FALSE)</f>
        <v>SEVROLL spoj.lišta H10 3m čierna kartáč</v>
      </c>
      <c r="D52" s="473"/>
      <c r="E52" s="92">
        <f>+VLOOKUP(B52,cennik!$A:$G,3,FALSE)</f>
        <v>21.452559999999998</v>
      </c>
      <c r="F52" s="92">
        <f>+E52*D52</f>
        <v>0</v>
      </c>
      <c r="G52" s="93">
        <f t="shared" si="5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5"/>
      <c r="K52" s="196" t="str">
        <f>IF(D52&gt;0,IF(VLOOKUP(B52,cennik!A:L,12,FALSE)="O",1,""),"")</f>
        <v/>
      </c>
      <c r="L52" s="6"/>
    </row>
    <row r="53" spans="1:12" ht="12.75" customHeight="1">
      <c r="A53" s="436" t="str">
        <f>System10!A52</f>
        <v>spojovací profil H30-3metre</v>
      </c>
      <c r="B53" s="17" t="str">
        <f>+VLOOKUP(P7,data!C399:D407,2,0)</f>
        <v>N/A</v>
      </c>
      <c r="C53" s="25" t="str">
        <f>IF($B$53=data!$D$54,texty!$A$239,+VLOOKUP($B$53,cennik!$A:$G,2,FALSE))</f>
        <v> v tejto farbe a dĺžke sa daný profil nevyrába</v>
      </c>
      <c r="D53" s="387"/>
      <c r="E53" s="488">
        <f>IF(B53=data!$D$63,0,+VLOOKUP(B53,cennik!$A:$G,3,FALSE))</f>
        <v>0</v>
      </c>
      <c r="F53" s="488">
        <f>+E53*D53</f>
        <v>0</v>
      </c>
      <c r="G53" s="489">
        <f t="shared" si="5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5"/>
      <c r="K53" s="196" t="str">
        <f>IF(D53&gt;0,IF(VLOOKUP(B53,cennik!A:L,12,FALSE)="O",1,""),"")</f>
        <v/>
      </c>
      <c r="L53" s="6"/>
    </row>
    <row r="54" spans="1:12" ht="12.75" customHeight="1">
      <c r="A54" s="436" t="str">
        <f>texty!$A$92</f>
        <v>spojovacia skrutka</v>
      </c>
      <c r="B54" s="16">
        <v>89244</v>
      </c>
      <c r="C54" s="25" t="str">
        <f>+VLOOKUP(B54,cennik!$A:$G,2,FALSE)</f>
        <v>SEVROLL šroubovrut 6,3*32 -Sevroll a Simple</v>
      </c>
      <c r="D54" s="473"/>
      <c r="E54" s="92">
        <f>+VLOOKUP(B54,cennik!$A:$G,3,FALSE)</f>
        <v>0.14462</v>
      </c>
      <c r="F54" s="92">
        <f>+E54*D54</f>
        <v>0</v>
      </c>
      <c r="G54" s="93">
        <f t="shared" si="5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5"/>
      <c r="K54" s="196" t="str">
        <f>IF(D54&gt;0,IF(VLOOKUP(B54,cennik!A:L,12,FALSE)="O",1,""),"")</f>
        <v/>
      </c>
      <c r="L54" s="6"/>
    </row>
    <row r="55" spans="1:12" ht="12.75" customHeight="1">
      <c r="A55" s="436" t="str">
        <f>System10!A55</f>
        <v>protiprachový kartáč</v>
      </c>
      <c r="B55" s="17">
        <v>95946</v>
      </c>
      <c r="C55" s="25" t="str">
        <f>+VLOOKUP(B55,cennik!$A:$G,2,FALSE)</f>
        <v>SEVROLL protiprach.kartáč zásuvný 4,8x13mm</v>
      </c>
      <c r="D55" s="473"/>
      <c r="E55" s="92">
        <f>+VLOOKUP(B55,cennik!$A:$G,3,FALSE)</f>
        <v>0.16506999999999999</v>
      </c>
      <c r="F55" s="92">
        <f>+E55*D55</f>
        <v>0</v>
      </c>
      <c r="G55" s="93">
        <f t="shared" si="5"/>
        <v>0</v>
      </c>
      <c r="H55" s="24" t="str">
        <f>cennik!$B$2</f>
        <v>EUR</v>
      </c>
      <c r="I55" s="483" t="str">
        <f>IFERROR(IF((VLOOKUP(B55,cennik!A:L,12,0))="O",texty!$A$250,""),"")</f>
        <v/>
      </c>
      <c r="J55" s="5"/>
      <c r="K55" s="196" t="str">
        <f>IF(D55&gt;0,IF(VLOOKUP(B55,cennik!A:L,12,FALSE)="O",1,""),"")</f>
        <v/>
      </c>
      <c r="L55" s="6"/>
    </row>
    <row r="56" spans="1:12" s="21" customFormat="1" ht="12.75" customHeight="1">
      <c r="A56" s="436" t="str">
        <f>texty!A240</f>
        <v>zámok posuvných dverí</v>
      </c>
      <c r="B56" s="17">
        <v>216363</v>
      </c>
      <c r="C56" s="25" t="str">
        <f>+VLOOKUP(B56,cennik!$A:$G,2,FALSE)</f>
        <v>SEVROLL zámok na posuvné dvere 18 mm</v>
      </c>
      <c r="D56" s="473"/>
      <c r="E56" s="92">
        <f>+VLOOKUP(B56,cennik!$A:$G,3,FALSE)</f>
        <v>17.186150000000001</v>
      </c>
      <c r="F56" s="92">
        <f>+E56*D56</f>
        <v>0</v>
      </c>
      <c r="G56" s="93">
        <f>+F56*(100-$G$26)/100</f>
        <v>0</v>
      </c>
      <c r="H56" s="24" t="str">
        <f>cennik!$B$2</f>
        <v>EUR</v>
      </c>
      <c r="I56" s="483" t="str">
        <f>IFERROR(IF((VLOOKUP(B56,cennik!A:L,12,0))="O",texty!$A$250,""),"")</f>
        <v/>
      </c>
      <c r="J56" s="453" t="str">
        <f>IF(D56&gt;0,IF(VLOOKUP(B56,cennik!A:L,12,FALSE)="O",1,""),"")</f>
        <v/>
      </c>
      <c r="K56" s="24"/>
    </row>
    <row r="57" spans="1:12" s="21" customFormat="1" ht="12.75" customHeight="1">
      <c r="A57" s="436"/>
      <c r="B57" s="17"/>
      <c r="C57" s="25"/>
      <c r="D57" s="92"/>
      <c r="E57" s="92"/>
      <c r="F57" s="92"/>
      <c r="G57" s="93"/>
      <c r="H57" s="24"/>
      <c r="I57" s="483" t="str">
        <f>IFERROR(IF((VLOOKUP(B57,cennik!A:L,12,0))="O",texty!$A$250,""),"")</f>
        <v/>
      </c>
      <c r="J57" s="453"/>
      <c r="K57" s="24"/>
    </row>
    <row r="58" spans="1:12" ht="12.75" customHeight="1">
      <c r="A58" s="443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8" s="42"/>
      <c r="C58" s="43"/>
      <c r="D58" s="42"/>
      <c r="E58" s="98"/>
      <c r="F58" s="98"/>
      <c r="G58" s="98"/>
      <c r="H58" s="375"/>
      <c r="I58" s="483" t="str">
        <f>IFERROR(IF((VLOOKUP(B58,cennik!A:L,12,0))="O",texty!$A$250,""),"")</f>
        <v/>
      </c>
      <c r="J58" s="186"/>
      <c r="K58" s="196" t="str">
        <f>IF(D58&gt;0,IF(VLOOKUP(B58,cennik!A:L,12,FALSE)="O",1,""),"")</f>
        <v/>
      </c>
      <c r="L58" s="6"/>
    </row>
    <row r="59" spans="1:12" ht="12.75" customHeight="1">
      <c r="A59" s="21"/>
      <c r="B59" s="21"/>
      <c r="C59" s="456" t="str">
        <f>texty!$A$10</f>
        <v>Potrebná dĺžka tesnenia pri celkovom presklení (nutné objednať celé metre)</v>
      </c>
      <c r="D59" s="453">
        <f>CEILING(((B9+C9)*2/1000*D4),1)</f>
        <v>0</v>
      </c>
      <c r="E59" s="375"/>
      <c r="F59" s="375"/>
      <c r="G59" s="375"/>
      <c r="H59" s="375"/>
      <c r="I59" s="483" t="str">
        <f>IFERROR(IF((VLOOKUP(B59,cennik!A:L,12,0))="O",texty!$A$250,""),"")</f>
        <v/>
      </c>
      <c r="J59" s="186"/>
      <c r="K59" s="196"/>
      <c r="L59" s="6"/>
    </row>
    <row r="60" spans="1:12" ht="12.75" customHeight="1">
      <c r="A60" s="464" t="str">
        <f>texty!$A$12</f>
        <v>(pri kombináciach s H profilmi je nutné pripočítať potrebnú dĺžku - tesnenie musí byť po celom odvode každého skla</v>
      </c>
      <c r="B60" s="465"/>
      <c r="C60" s="466"/>
      <c r="D60" s="465"/>
      <c r="E60" s="455"/>
      <c r="F60" s="455"/>
      <c r="G60" s="455"/>
      <c r="H60" s="375"/>
      <c r="I60" s="483" t="str">
        <f>IFERROR(IF((VLOOKUP(B60,cennik!A:L,12,0))="O",texty!$A$250,""),"")</f>
        <v/>
      </c>
      <c r="J60" s="186"/>
      <c r="K60" s="196" t="str">
        <f>IF(D60&gt;0,IF(VLOOKUP(B60,cennik!A:L,12,FALSE)="O",1,""),"")</f>
        <v/>
      </c>
      <c r="L60" s="6"/>
    </row>
    <row r="61" spans="1:12" ht="12.75" customHeight="1">
      <c r="A61" s="436" t="str">
        <f>System10!A59</f>
        <v>tesnenie na sklo 4mm</v>
      </c>
      <c r="B61" s="17">
        <v>89238</v>
      </c>
      <c r="C61" s="25" t="str">
        <f>+VLOOKUP(B61,cennik!$A:$G,2,FALSE)</f>
        <v>SEVROLL tesnenie na sklo 10/4mm</v>
      </c>
      <c r="D61" s="474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J61" s="186"/>
      <c r="K61" s="196" t="str">
        <f>IF(D61&gt;0,IF(VLOOKUP(B61,cennik!A:L,12,FALSE)="O",1,""),"")</f>
        <v/>
      </c>
      <c r="L61" s="6"/>
    </row>
    <row r="62" spans="1:12" ht="12.75" customHeight="1">
      <c r="A62" s="436" t="str">
        <f>texty!A103</f>
        <v>tesnenie na sklo 4,5 mm</v>
      </c>
      <c r="B62" s="17">
        <v>135164</v>
      </c>
      <c r="C62" s="25" t="str">
        <f>+VLOOKUP(B62,cennik!$A:$G,2,FALSE)</f>
        <v>SEVROLL- TESNENIE NA SKLO 4,5mm</v>
      </c>
      <c r="D62" s="474"/>
      <c r="E62" s="92">
        <f>+VLOOKUP(B62,cennik!$A:$G,3,FALSE)</f>
        <v>0.79542999999999997</v>
      </c>
      <c r="F62" s="97">
        <f>+CEILING(D62,1)*E62</f>
        <v>0</v>
      </c>
      <c r="G62" s="93">
        <f>+F62*(100-$G$26)/100</f>
        <v>0</v>
      </c>
      <c r="H62" s="24" t="str">
        <f>cennik!$B$2</f>
        <v>EUR</v>
      </c>
      <c r="I62" s="483" t="str">
        <f>IFERROR(IF((VLOOKUP(B62,cennik!A:L,12,0))="O",texty!$A$250,""),"")</f>
        <v/>
      </c>
      <c r="J62" s="186"/>
      <c r="K62" s="196" t="str">
        <f>IF(D62&gt;0,IF(VLOOKUP(B62,cennik!A:L,12,FALSE)="O",1,""),"")</f>
        <v/>
      </c>
      <c r="L62" s="3"/>
    </row>
    <row r="63" spans="1:12" ht="12.75" customHeight="1">
      <c r="A63" s="436" t="str">
        <f>System10!A61</f>
        <v>tesnenie na sklo 6mm</v>
      </c>
      <c r="B63" s="17">
        <v>89243</v>
      </c>
      <c r="C63" s="25" t="str">
        <f>+VLOOKUP(B63,cennik!$A:$G,2,FALSE)</f>
        <v>SEVROLL tesnenie na sklo 10/6mm</v>
      </c>
      <c r="D63" s="474"/>
      <c r="E63" s="92">
        <f>+VLOOKUP(B63,cennik!$A:$G,3,FALSE)</f>
        <v>0.89917999999999998</v>
      </c>
      <c r="F63" s="97">
        <f>+CEILING(D63,1)*E63</f>
        <v>0</v>
      </c>
      <c r="G63" s="93">
        <f>+F63*(100-$G$26)/100</f>
        <v>0</v>
      </c>
      <c r="H63" s="24" t="str">
        <f>cennik!$B$2</f>
        <v>EUR</v>
      </c>
      <c r="I63" s="483" t="str">
        <f>IFERROR(IF((VLOOKUP(B63,cennik!A:L,12,0))="O",texty!$A$250,""),"")</f>
        <v/>
      </c>
      <c r="J63" s="186"/>
      <c r="K63" s="196" t="str">
        <f>IF(D63&gt;0,IF(VLOOKUP(B63,cennik!A:L,12,FALSE)="O",1,""),"")</f>
        <v/>
      </c>
      <c r="L63" s="6"/>
    </row>
    <row r="64" spans="1:12" ht="16">
      <c r="A64" s="285" t="str">
        <f>texty!$A$190</f>
        <v>Ďalšie príslušenstvo</v>
      </c>
      <c r="B64" s="21"/>
      <c r="C64" s="21"/>
      <c r="D64" s="21"/>
      <c r="E64" s="375"/>
      <c r="F64" s="375"/>
      <c r="G64" s="375"/>
      <c r="H64" s="24"/>
      <c r="I64" s="483" t="str">
        <f>IFERROR(IF((VLOOKUP(B64,cennik!A:L,12,0))="O",texty!$A$250,""),"")</f>
        <v/>
      </c>
      <c r="J64" s="186"/>
      <c r="K64" s="196" t="str">
        <f>IF(D64&gt;0,IF(VLOOKUP(B64,cennik!A:L,12,FALSE)="O",1,""),"")</f>
        <v/>
      </c>
    </row>
    <row r="65" spans="1:14" ht="12.75" customHeight="1">
      <c r="A65" s="285" t="str">
        <f>texty!$A$244</f>
        <v>Technický nákres tohoto systému</v>
      </c>
      <c r="B65" s="484">
        <v>129677</v>
      </c>
      <c r="C65" s="467" t="str">
        <f>VLOOKUP(B65,cennik!A:C,2,0)</f>
        <v>SEVROLL-MONT.PRÍPRAVOK NA DTD 10mm MALÝ</v>
      </c>
      <c r="D65" s="474"/>
      <c r="E65" s="92">
        <f>+VLOOKUP(B65,cennik!$A:$G,3,FALSE)</f>
        <v>5.60419</v>
      </c>
      <c r="F65" s="97">
        <f>+CEILING(D65,1)*E65</f>
        <v>0</v>
      </c>
      <c r="G65" s="93">
        <f>+F65</f>
        <v>0</v>
      </c>
      <c r="H65" s="24" t="str">
        <f>cennik!$B$2</f>
        <v>EUR</v>
      </c>
      <c r="I65" s="483" t="str">
        <f>IFERROR(IF((VLOOKUP(B65,cennik!A:L,12,0))="O",texty!$A$250,""),"")</f>
        <v/>
      </c>
      <c r="J65" s="186"/>
      <c r="K65" s="196" t="str">
        <f>IF(D65&gt;0,IF(VLOOKUP(B65,cennik!A:L,12,FALSE)="O",1,""),"")</f>
        <v/>
      </c>
    </row>
    <row r="66" spans="1:14" ht="12.75" customHeight="1">
      <c r="A66" s="21"/>
      <c r="B66" s="484">
        <v>128842</v>
      </c>
      <c r="C66" s="467" t="str">
        <f>VLOOKUP(B66,cennik!A:C,2,0)</f>
        <v>SEVROLL-VRTÁK STUPŇOVITÝ 6,5/9,5mm</v>
      </c>
      <c r="D66" s="474"/>
      <c r="E66" s="92">
        <f>+VLOOKUP(B66,cennik!$A:$G,3,FALSE)</f>
        <v>23.986910000000002</v>
      </c>
      <c r="F66" s="97">
        <f>+CEILING(D66,1)*E66</f>
        <v>0</v>
      </c>
      <c r="G66" s="93">
        <f>+F66</f>
        <v>0</v>
      </c>
      <c r="H66" s="24" t="str">
        <f>cennik!$B$2</f>
        <v>EUR</v>
      </c>
      <c r="I66" s="483" t="str">
        <f>IFERROR(IF((VLOOKUP(B66,cennik!A:L,12,0))="O",texty!$A$250,""),"")</f>
        <v/>
      </c>
      <c r="J66" s="186"/>
      <c r="K66" s="196" t="str">
        <f>IF(D66&gt;0,IF(VLOOKUP(B66,cennik!A:L,12,FALSE)="O",1,""),"")</f>
        <v/>
      </c>
    </row>
    <row r="67" spans="1:14" ht="12.75" customHeight="1">
      <c r="A67" s="646" t="str">
        <f>IF(SUM(D50:D51)&gt;0,IF(C7&lt;(B4/3),texty!$A$212,""),"")</f>
        <v/>
      </c>
      <c r="B67" s="646"/>
      <c r="C67" s="646"/>
      <c r="D67" s="646"/>
      <c r="E67" s="646"/>
      <c r="F67" s="646"/>
      <c r="G67" s="646"/>
      <c r="H67" s="646"/>
      <c r="I67" s="646"/>
      <c r="J67" s="286"/>
      <c r="K67" s="135"/>
    </row>
    <row r="68" spans="1:14" ht="12.75" customHeight="1">
      <c r="A68" s="21"/>
      <c r="B68" s="17"/>
      <c r="C68" s="17"/>
      <c r="D68" s="469" t="str">
        <f>texty!$A$15</f>
        <v>CELKOM  (bez DPH)</v>
      </c>
      <c r="E68" s="455"/>
      <c r="F68" s="102">
        <f>SUM(F28:F66)</f>
        <v>121.38771000000001</v>
      </c>
      <c r="G68" s="102">
        <f>SUM(G28:G66)</f>
        <v>121.38771</v>
      </c>
      <c r="H68" s="24" t="str">
        <f>cennik!$B$2</f>
        <v>EUR</v>
      </c>
      <c r="I68" s="24"/>
      <c r="J68" s="186"/>
      <c r="K68" s="186"/>
      <c r="L68" s="5" t="str">
        <f>data!J4</f>
        <v xml:space="preserve">strieborná </v>
      </c>
      <c r="M68" s="21" t="s">
        <v>2884</v>
      </c>
    </row>
    <row r="69" spans="1:14" ht="12.75" customHeight="1">
      <c r="A69" s="456" t="str">
        <f>System10!$A$67</f>
        <v>Vaša poznámka:</v>
      </c>
      <c r="B69" s="650"/>
      <c r="C69" s="651"/>
      <c r="D69" s="651"/>
      <c r="E69" s="651"/>
      <c r="F69" s="651"/>
      <c r="G69" s="652"/>
      <c r="H69" s="24"/>
      <c r="I69" s="24"/>
      <c r="L69" s="5" t="str">
        <f>data!J5</f>
        <v>zlatá</v>
      </c>
      <c r="M69" s="21" t="s">
        <v>45</v>
      </c>
    </row>
    <row r="70" spans="1:14" ht="12.75" customHeight="1">
      <c r="A70" s="639">
        <f>profil!$U$15</f>
        <v>0</v>
      </c>
      <c r="B70" s="640"/>
      <c r="C70" s="640"/>
      <c r="D70" s="640"/>
      <c r="E70" s="640"/>
      <c r="F70" s="640"/>
      <c r="G70" s="640"/>
      <c r="H70" s="640"/>
      <c r="I70" s="24"/>
      <c r="L70" s="5" t="str">
        <f>data!J6</f>
        <v>oliva</v>
      </c>
      <c r="M70" s="21"/>
    </row>
    <row r="71" spans="1:14" ht="12.75" customHeight="1">
      <c r="A71" s="641" t="str">
        <f>IF(N71=1,texty!$A$215,IF(K71&gt;0,texty!$A$214,""))</f>
        <v/>
      </c>
      <c r="B71" s="641"/>
      <c r="C71" s="641"/>
      <c r="D71" s="641"/>
      <c r="E71" s="641"/>
      <c r="F71" s="641"/>
      <c r="G71" s="641"/>
      <c r="H71" s="641"/>
      <c r="I71" s="24"/>
      <c r="K71" s="6">
        <f>SUM(K28:K66)</f>
        <v>0</v>
      </c>
      <c r="L71" s="5" t="str">
        <f>data!J7</f>
        <v>oliva kartáčovaná</v>
      </c>
      <c r="N71" s="5">
        <f>IF(ISERROR(K71),1,0)</f>
        <v>0</v>
      </c>
    </row>
    <row r="72" spans="1:14" ht="12.75" customHeight="1">
      <c r="L72" s="5" t="str">
        <f>data!J8</f>
        <v>kart. tm. oliva</v>
      </c>
    </row>
    <row r="73" spans="1:14" ht="12.75" hidden="1" customHeight="1">
      <c r="L73" s="5" t="str">
        <f>data!J9</f>
        <v>kart. čierna</v>
      </c>
    </row>
    <row r="74" spans="1:14" ht="12.75" hidden="1" customHeight="1">
      <c r="L74" s="5" t="str">
        <f>data!J15</f>
        <v>biela lesk</v>
      </c>
    </row>
    <row r="75" spans="1:14" ht="12.75" hidden="1" customHeight="1">
      <c r="L75" s="5" t="str">
        <f>data!J16</f>
        <v>čierna lesk</v>
      </c>
    </row>
    <row r="76" spans="1:14" ht="12.75" hidden="1" customHeight="1">
      <c r="L76" s="5" t="str">
        <f>data!J17</f>
        <v>čierna mat</v>
      </c>
    </row>
  </sheetData>
  <sheetProtection algorithmName="SHA-512" hashValue="oy2ow7PzOQTHHyyuQ9bgs/oYzwzR7lKkTMSBMECBkc67KARYZ900cMIrCFRWtK6j78AB2UkY2RGr4hgo/ZIpcw==" saltValue="ZFMwfG1lNRA67TMep/8f8A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D54">
    <cfRule type="expression" dxfId="219" priority="11" stopIfTrue="1">
      <formula>IF($D$53&gt;0,IF($D$54=0,1,0),0)</formula>
    </cfRule>
  </conditionalFormatting>
  <conditionalFormatting sqref="D6">
    <cfRule type="expression" dxfId="218" priority="9">
      <formula>$D$4=4</formula>
    </cfRule>
    <cfRule type="expression" dxfId="217" priority="10">
      <formula>$D$4&lt;&gt;4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conditionalFormatting sqref="A14">
    <cfRule type="expression" dxfId="213" priority="3">
      <formula>SUM($D$47:$D$48)&gt;0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imální výška je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6:F6" xr:uid="{00000000-0002-0000-0900-000002000000}">
      <formula1>"stříbrná,zlatá,oliva"</formula1>
      <formula2>0</formula2>
    </dataValidation>
    <dataValidation type="list" allowBlank="1" showInputMessage="1" showErrorMessage="1" sqref="E4" xr:uid="{00000000-0002-0000-0900-000003000000}">
      <formula1>$L$68:$L$76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$M$68:$M$69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8E43D22-0D09-4D74-81A9-663B75906C29}">
            <xm:f>$I28=texty!$A$250</xm:f>
            <x14:dxf>
              <font>
                <color rgb="FFFF0000"/>
              </font>
            </x14:dxf>
          </x14:cfRule>
          <xm:sqref>I28:I66</xm:sqref>
        </x14:conditionalFormatting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A28:H66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3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9.6640625" style="5" customWidth="1"/>
    <col min="2" max="2" width="15.83203125" style="5" customWidth="1"/>
    <col min="3" max="3" width="46.5" style="5" customWidth="1"/>
    <col min="4" max="4" width="13.6640625" style="5" customWidth="1"/>
    <col min="5" max="7" width="15.33203125" style="5" customWidth="1"/>
    <col min="8" max="8" width="4.832031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22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-8.25</v>
      </c>
    </row>
    <row r="2" spans="1:22" ht="18.75" customHeight="1">
      <c r="A2" s="538" t="s">
        <v>1447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2" ht="29" thickBot="1">
      <c r="A3" s="539" t="str">
        <f>CONCATENATE(texty!A243," ",5,".",50)</f>
        <v>katalóg kovania 2018 str. 5.50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22" ht="18" customHeight="1">
      <c r="A4" s="10" t="str">
        <f>+System10!A4</f>
        <v>VNÚTORNÝ ROZMER SKRINE:</v>
      </c>
      <c r="B4" s="56"/>
      <c r="C4" s="56"/>
      <c r="D4" s="22">
        <v>2</v>
      </c>
      <c r="E4" s="22" t="s">
        <v>416</v>
      </c>
      <c r="F4" s="472" t="s">
        <v>2884</v>
      </c>
      <c r="G4" s="656"/>
      <c r="H4" s="656"/>
      <c r="I4" s="656"/>
      <c r="K4" s="195"/>
      <c r="L4" s="17">
        <f>IF(C4&lt;1701,1700,IF(C4&lt;2351,2350,IF(C4&lt;3001,3000,IF(C4&lt;4051,4050,6000))))</f>
        <v>1700</v>
      </c>
      <c r="M4" s="21"/>
      <c r="N4" s="17">
        <f>IF(C4&lt;1701,1700,IF(C4&lt;2351,2350,IF(C4&lt;3001,3000,IF(C4&lt;4051,4050,6000))))</f>
        <v>1700</v>
      </c>
    </row>
    <row r="5" spans="1:22" ht="18" customHeight="1">
      <c r="A5" s="10"/>
      <c r="B5" s="660" t="str">
        <f>+System10!B5</f>
        <v>vypíšte týchto 5 políčok !!! Údaje v mm</v>
      </c>
      <c r="C5" s="660"/>
      <c r="D5" s="660"/>
      <c r="E5" s="660"/>
      <c r="F5" s="660"/>
      <c r="G5" s="656"/>
      <c r="H5" s="656"/>
      <c r="I5" s="656"/>
      <c r="K5" s="195"/>
      <c r="L5" s="23" t="str">
        <f>CONCATENATE(L4,"-",E4)</f>
        <v xml:space="preserve">1700-strieborná </v>
      </c>
      <c r="M5" s="21"/>
      <c r="N5" s="23" t="str">
        <f>CONCATENATE(N4,"-",E4,", ",F4)</f>
        <v>1700-strieborná , Elegant II</v>
      </c>
    </row>
    <row r="6" spans="1:22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10" t="str">
        <f>+System10!A7</f>
        <v>krídlo dverí:</v>
      </c>
      <c r="B7" s="57">
        <f>+B4-40</f>
        <v>-40</v>
      </c>
      <c r="C7" s="59">
        <f>+(C4-3+(30*(D4-1)))/D4+IF(AND(D4=4,D6=2),M1,0)</f>
        <v>13.5</v>
      </c>
      <c r="D7" s="8"/>
      <c r="E7" s="8"/>
      <c r="F7" s="8"/>
      <c r="G7" s="50" t="str">
        <f>texty!$A$39</f>
        <v>V prípade použitia skla ako výplne</v>
      </c>
      <c r="H7" s="6"/>
      <c r="L7" s="6"/>
      <c r="O7" s="17">
        <f>IF(L11="jiné",M12,L11)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2" ht="12.75" customHeight="1">
      <c r="A8" s="10" t="str">
        <f>+System10!A8</f>
        <v>rozmer výplne 10 mm:</v>
      </c>
      <c r="B8" s="57">
        <f>+B7-64</f>
        <v>-104</v>
      </c>
      <c r="C8" s="59">
        <f>+C7-41</f>
        <v>-27.5</v>
      </c>
      <c r="D8" s="8"/>
      <c r="E8" s="8"/>
      <c r="F8" s="8"/>
      <c r="G8" s="50" t="str">
        <f>texty!$A$40</f>
        <v>je treba použiť bezpečnostné sklo</v>
      </c>
      <c r="H8" s="6"/>
      <c r="L8" s="6" t="s">
        <v>73</v>
      </c>
      <c r="M8" s="5" t="s">
        <v>74</v>
      </c>
      <c r="O8" s="23" t="str">
        <f>CONCATENATE(O7,"-",E4)</f>
        <v xml:space="preserve">1700-strieborná </v>
      </c>
      <c r="P8" s="21"/>
      <c r="Q8" s="5">
        <v>1</v>
      </c>
      <c r="R8" s="164">
        <f>$C$10+5</f>
        <v>-39.5</v>
      </c>
      <c r="S8" s="5">
        <f>FLOOR(1700/R8,1)</f>
        <v>-44</v>
      </c>
      <c r="T8" s="5">
        <f>FLOOR(2350/R8,1)</f>
        <v>-60</v>
      </c>
      <c r="U8" s="5">
        <f>FLOOR(3000/R8,1)</f>
        <v>-76</v>
      </c>
    </row>
    <row r="9" spans="1:22" ht="12.75" customHeight="1">
      <c r="A9" s="10" t="str">
        <f>+System10!A9</f>
        <v>rozmer zrkadla / skla</v>
      </c>
      <c r="B9" s="57">
        <f>+B8</f>
        <v>-104</v>
      </c>
      <c r="C9" s="59">
        <f>+C8-4</f>
        <v>-31.5</v>
      </c>
      <c r="D9" s="8"/>
      <c r="E9" s="8"/>
      <c r="F9" s="8"/>
      <c r="G9" s="50" t="str">
        <f>texty!$A$41</f>
        <v>alebo sklo zabezpečiť ochrannou fóliou</v>
      </c>
      <c r="H9" s="6"/>
      <c r="L9" s="37">
        <f>C10*D4</f>
        <v>-89</v>
      </c>
      <c r="M9" s="36">
        <f>(D4+1)*5</f>
        <v>15</v>
      </c>
      <c r="Q9" s="5">
        <v>2</v>
      </c>
      <c r="R9" s="164">
        <f t="shared" ref="R9:R14" si="0">R8+$C$10+5</f>
        <v>-79</v>
      </c>
      <c r="S9" s="5">
        <f>(1700-C10)*S17</f>
        <v>-1744.5</v>
      </c>
      <c r="T9" s="5">
        <f>(2350-C10)*T17</f>
        <v>-2394.5</v>
      </c>
      <c r="U9" s="5">
        <f>(3000-C10)*U17</f>
        <v>-3044.5</v>
      </c>
      <c r="V9" s="5" t="s">
        <v>651</v>
      </c>
    </row>
    <row r="10" spans="1:22" ht="12.75" customHeight="1">
      <c r="A10" s="10" t="str">
        <f>+System10!A10</f>
        <v>dĺžka vodiacej a krycej lišty krídla</v>
      </c>
      <c r="B10" s="57"/>
      <c r="C10" s="60">
        <f>+C7-58</f>
        <v>-44.5</v>
      </c>
      <c r="D10" s="8"/>
      <c r="E10" s="8"/>
      <c r="F10" s="8"/>
      <c r="G10" s="49"/>
      <c r="H10" s="6"/>
      <c r="L10" s="5" t="s">
        <v>72</v>
      </c>
      <c r="O10" s="17" t="str">
        <f>IF(L11="jiné",M13,"")</f>
        <v/>
      </c>
      <c r="P10" s="21" t="str">
        <f>+E4</f>
        <v xml:space="preserve">strieborná </v>
      </c>
      <c r="Q10" s="5">
        <v>3</v>
      </c>
      <c r="R10" s="164">
        <f t="shared" si="0"/>
        <v>-118.5</v>
      </c>
    </row>
    <row r="11" spans="1:22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F11" s="8"/>
      <c r="G11" s="3" t="str">
        <f>texty!$A$43</f>
        <v>Maximálna hmotnosť krídla je 50 kg</v>
      </c>
      <c r="H11" s="6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 xml:space="preserve">-strieborná </v>
      </c>
      <c r="P11" s="21"/>
      <c r="Q11" s="5">
        <v>4</v>
      </c>
      <c r="R11" s="164">
        <f t="shared" si="0"/>
        <v>-158</v>
      </c>
    </row>
    <row r="12" spans="1:22" ht="12.75" customHeight="1">
      <c r="A12" s="10" t="str">
        <f>+System10!$A$12</f>
        <v>úchytková lišta</v>
      </c>
      <c r="B12" s="502">
        <f>+B7</f>
        <v>-40</v>
      </c>
      <c r="C12" s="503"/>
      <c r="D12" s="8"/>
      <c r="E12" s="8"/>
      <c r="F12" s="8"/>
      <c r="G12" s="6"/>
      <c r="H12" s="6"/>
      <c r="L12" s="6">
        <f>C10*(D4-1)+(D4*5)</f>
        <v>-34.5</v>
      </c>
      <c r="M12" s="5">
        <f>IF(L12&lt;1700,1700,IF(L12&lt;2350,2350,IF(L12&lt;3000,3000,3000)))</f>
        <v>1700</v>
      </c>
      <c r="N12" s="5">
        <f>M12-L12</f>
        <v>1734.5</v>
      </c>
      <c r="Q12" s="5">
        <v>5</v>
      </c>
      <c r="R12" s="164">
        <f t="shared" si="0"/>
        <v>-197.5</v>
      </c>
    </row>
    <row r="13" spans="1:22" ht="12.75" customHeight="1">
      <c r="A13" s="147" t="str">
        <f>System10!A13</f>
        <v>Dĺžka tesnenia na sklo na jednom krídle</v>
      </c>
      <c r="B13" s="58"/>
      <c r="C13" s="145">
        <f>ROUND(B8*2+C9*2,0)</f>
        <v>-271</v>
      </c>
      <c r="D13" s="8"/>
      <c r="E13" s="8"/>
      <c r="F13" s="8"/>
      <c r="G13" s="6"/>
      <c r="H13" s="6"/>
      <c r="L13" s="35">
        <f>C10+10</f>
        <v>-34.5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5">
        <f>M13-L13</f>
        <v>1734.5</v>
      </c>
      <c r="Q13" s="5">
        <v>6</v>
      </c>
      <c r="R13" s="164">
        <f t="shared" si="0"/>
        <v>-237</v>
      </c>
    </row>
    <row r="14" spans="1:22" ht="24" customHeight="1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8"/>
      <c r="G14" s="6"/>
      <c r="H14" s="6"/>
      <c r="L14" s="6"/>
      <c r="M14" s="5">
        <f>SUM(M12:M13)</f>
        <v>3400</v>
      </c>
      <c r="N14" s="5">
        <f>SUM(N12:N13)</f>
        <v>3469</v>
      </c>
      <c r="Q14" s="5">
        <v>7</v>
      </c>
      <c r="R14" s="164">
        <f t="shared" si="0"/>
        <v>-276.5</v>
      </c>
    </row>
    <row r="15" spans="1:22" ht="17.25" customHeight="1">
      <c r="A15" s="644"/>
      <c r="B15" s="644"/>
      <c r="C15" s="504"/>
      <c r="D15" s="8"/>
      <c r="E15" s="8"/>
      <c r="F15" s="8"/>
      <c r="G15" s="6"/>
      <c r="H15" s="6"/>
      <c r="L15" s="6"/>
      <c r="R15" s="164"/>
    </row>
    <row r="16" spans="1:22" ht="13">
      <c r="A16" s="436"/>
      <c r="B16" s="17"/>
      <c r="C16" s="504"/>
      <c r="D16" s="8"/>
      <c r="E16" s="8"/>
      <c r="F16" s="8"/>
      <c r="G16" s="6"/>
      <c r="H16" s="6"/>
      <c r="L16" s="6"/>
      <c r="R16" s="164"/>
    </row>
    <row r="17" spans="1:22" ht="12.75" customHeight="1">
      <c r="B17" s="17"/>
      <c r="C17" s="447"/>
      <c r="D17" s="8"/>
      <c r="E17" s="8"/>
      <c r="F17" s="8"/>
      <c r="G17" s="6"/>
      <c r="H17" s="6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2" ht="12.75" customHeight="1">
      <c r="A18" s="436"/>
      <c r="B18" s="17"/>
      <c r="C18" s="447"/>
      <c r="D18" s="8"/>
      <c r="E18" s="8"/>
      <c r="F18" s="8"/>
      <c r="G18" s="6"/>
      <c r="H18" s="6"/>
      <c r="L18" s="6"/>
    </row>
    <row r="19" spans="1:22" ht="14.25" customHeight="1">
      <c r="A19" s="436"/>
      <c r="B19" s="498" t="str">
        <f>texty!A242</f>
        <v>dilatácia 4 mm</v>
      </c>
      <c r="C19" s="120"/>
      <c r="D19" s="8"/>
      <c r="E19" s="8"/>
      <c r="F19" s="8"/>
      <c r="G19" s="6"/>
      <c r="H19" s="6"/>
      <c r="I19" s="647" t="s">
        <v>2890</v>
      </c>
      <c r="L19" s="6"/>
    </row>
    <row r="20" spans="1:22" ht="16.5" customHeight="1">
      <c r="A20" s="7"/>
      <c r="B20" s="8"/>
      <c r="C20" s="8"/>
      <c r="E20" s="8"/>
      <c r="F20" s="8"/>
      <c r="G20" s="6"/>
      <c r="H20" s="6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2" ht="16.5" customHeight="1">
      <c r="A21" s="7"/>
      <c r="B21" s="8"/>
      <c r="C21" s="8"/>
      <c r="D21" s="13"/>
      <c r="E21" s="8"/>
      <c r="F21" s="8"/>
      <c r="G21" s="6"/>
      <c r="H21" s="6"/>
      <c r="I21" s="648" t="s">
        <v>2891</v>
      </c>
      <c r="L21" s="6"/>
      <c r="Q21" s="5">
        <v>1</v>
      </c>
      <c r="R21" s="5">
        <f>S8</f>
        <v>-44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2" ht="12.75" customHeight="1">
      <c r="A22" s="7"/>
      <c r="B22" s="8"/>
      <c r="C22" s="8"/>
      <c r="D22" s="8"/>
      <c r="E22" s="8"/>
      <c r="F22" s="8"/>
      <c r="G22" s="6"/>
      <c r="H22" s="6"/>
      <c r="I22" s="648"/>
      <c r="L22" s="3"/>
      <c r="Q22" s="5">
        <v>2</v>
      </c>
      <c r="R22" s="5">
        <f>T8</f>
        <v>-60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2" ht="12.75" customHeight="1">
      <c r="A23" s="7"/>
      <c r="B23" s="8"/>
      <c r="C23" s="8"/>
      <c r="D23" s="8"/>
      <c r="E23" s="8"/>
      <c r="F23" s="8"/>
      <c r="G23" s="6"/>
      <c r="H23" s="6"/>
      <c r="Q23" s="5">
        <v>3</v>
      </c>
      <c r="R23" s="5">
        <f>U8</f>
        <v>-76</v>
      </c>
      <c r="S23" s="5" t="str">
        <f>IF(R23&gt;=D4,IF(R22&gt;=D4,"",1),"")</f>
        <v/>
      </c>
      <c r="V23" s="168" t="str">
        <f>IF(S23=1,1,"")</f>
        <v/>
      </c>
    </row>
    <row r="24" spans="1:22" ht="12.75" customHeight="1">
      <c r="A24" s="7"/>
      <c r="B24" s="8"/>
      <c r="C24" s="8"/>
      <c r="D24" s="8"/>
      <c r="E24" s="8"/>
      <c r="F24" s="8"/>
      <c r="G24" s="6"/>
      <c r="H24" s="6"/>
      <c r="L24" s="5" t="str">
        <f>CONCATENATE(N24,"-",$P$7)</f>
        <v xml:space="preserve">1700-strieborná 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-104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2" ht="12.75" customHeight="1">
      <c r="A25" s="7"/>
      <c r="B25" s="8"/>
      <c r="D25" s="8"/>
      <c r="E25" s="8"/>
      <c r="F25" s="8"/>
      <c r="G25" s="131" t="str">
        <f>+System10!G25</f>
        <v>partnerská zľava:</v>
      </c>
      <c r="H25" s="6"/>
      <c r="L25" s="5" t="str">
        <f>CONCATENATE(N25,"-",$P$7)</f>
        <v xml:space="preserve">2350-strieborná </v>
      </c>
      <c r="M25" s="6">
        <f>SUM(U21:U32)</f>
        <v>0</v>
      </c>
      <c r="N25" s="5">
        <v>2350</v>
      </c>
      <c r="Q25" s="5" t="s">
        <v>689</v>
      </c>
      <c r="R25" s="5">
        <f>T8+T8</f>
        <v>-120</v>
      </c>
      <c r="S25" s="5" t="str">
        <f>IF(R25&gt;=D4,IF(SUM(S21:S24)&gt;0,"",1),"")</f>
        <v/>
      </c>
      <c r="U25" s="168" t="str">
        <f>IF(S25=1,2,"")</f>
        <v/>
      </c>
    </row>
    <row r="26" spans="1:22" ht="12.75" customHeight="1">
      <c r="A26" s="14" t="str">
        <f>+System10!A26</f>
        <v>Objednávacie kódy, ceny:</v>
      </c>
      <c r="B26" s="8"/>
      <c r="D26" s="8"/>
      <c r="E26" s="8"/>
      <c r="F26" s="8"/>
      <c r="G26" s="143">
        <f>profil!C15</f>
        <v>0</v>
      </c>
      <c r="H26" s="28"/>
      <c r="L26" s="5" t="str">
        <f>CONCATENATE(N26,"-",$P$7)</f>
        <v xml:space="preserve">3000-strieborná 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-120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2" ht="12.75" customHeight="1">
      <c r="A27" s="7"/>
      <c r="B27" s="19" t="str">
        <f>+'Romeo II'!B27</f>
        <v>kód</v>
      </c>
      <c r="C27" s="18" t="str">
        <f>+'Romeo II'!C27</f>
        <v>názov</v>
      </c>
      <c r="D27" s="19" t="str">
        <f>+'Romeo II'!D27</f>
        <v>ks</v>
      </c>
      <c r="E27" s="19" t="str">
        <f>+'Romeo II'!E27</f>
        <v>cena/ks</v>
      </c>
      <c r="F27" s="19" t="str">
        <f>+'Romeo II'!F27</f>
        <v>cena celkom</v>
      </c>
      <c r="G27" s="20" t="str">
        <f>+'Romeo II'!G27</f>
        <v>celkom netto:</v>
      </c>
      <c r="H27" s="6"/>
      <c r="I27" s="18" t="str">
        <f>texty!A29</f>
        <v>Poznámka:</v>
      </c>
      <c r="K27" s="18"/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-136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2" ht="12.75" customHeight="1">
      <c r="A28" s="7" t="str">
        <f>+System10!A28</f>
        <v>Horný profil:</v>
      </c>
      <c r="B28" s="16">
        <f>+VLOOKUP(L5,data!$C$176:$D$210,2,0)</f>
        <v>89106</v>
      </c>
      <c r="C28" s="25" t="str">
        <f>+VLOOKUP(B28,cennik!$A$3:$G$701,2,FALSE)</f>
        <v>SEVROLL Gemini horné vedenie 1,7m strieborná</v>
      </c>
      <c r="D28" s="17">
        <f>IF(B28="N/A",0,1)</f>
        <v>1</v>
      </c>
      <c r="E28" s="92">
        <f>+VLOOKUP(B28,cennik!$A:$G,3,FALSE)</f>
        <v>16.077369999999998</v>
      </c>
      <c r="F28" s="92">
        <f t="shared" ref="F28:F39" si="1">+E28*D28</f>
        <v>16.077369999999998</v>
      </c>
      <c r="G28" s="93">
        <f>+F28*(100-$G$26)/100</f>
        <v>16.077369999999998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-152</v>
      </c>
      <c r="S28" s="5" t="str">
        <f>IF(R28&gt;=D4,IF(SUM(S21:S27)&gt;0,"",1),"")</f>
        <v/>
      </c>
      <c r="V28" s="168" t="str">
        <f>IF(S28=1,2,"")</f>
        <v/>
      </c>
    </row>
    <row r="29" spans="1:22" ht="12.75" customHeight="1">
      <c r="A29" s="7" t="str">
        <f>+System10!A29</f>
        <v>spodný profil:</v>
      </c>
      <c r="B29" s="16">
        <f>+VLOOKUP(N5,data!$C$4:$D$73,2,0)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IF(B29=data!$D$63,0,+VLOOKUP(B29,cennik!$A$3:$G$907,3,FALSE))</f>
        <v>9.0389999999999997</v>
      </c>
      <c r="F29" s="92">
        <f t="shared" si="1"/>
        <v>9.0389999999999997</v>
      </c>
      <c r="G29" s="93">
        <f>+F29*(100-$F$26)/100</f>
        <v>9.0389999999999997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 xml:space="preserve">3000-strieborná 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-132</v>
      </c>
      <c r="S29" s="5" t="str">
        <f>IF(R29&gt;=D4,IF(SUM(S21:S28)&gt;0,"",1),"")</f>
        <v/>
      </c>
      <c r="T29" s="168" t="str">
        <f>IF(S29=1,3,"")</f>
        <v/>
      </c>
    </row>
    <row r="30" spans="1:22" ht="12.75" customHeight="1">
      <c r="A30" s="7" t="str">
        <f>+System10!A30</f>
        <v>krycí profil (maska):</v>
      </c>
      <c r="B30" s="16">
        <f>+VLOOKUP(N5,data!$C$90:$D$175,2,0)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 t="shared" si="1"/>
        <v>2.8683800000000002</v>
      </c>
      <c r="G30" s="93">
        <f t="shared" ref="G30:G39" si="2">+F30*(100-$G$26)/100</f>
        <v>2.8683800000000002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-164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2" ht="12.75" customHeight="1">
      <c r="A31" s="7" t="str">
        <f>+System10!A31</f>
        <v>horné vozíky (sady)</v>
      </c>
      <c r="B31" s="16">
        <v>228009</v>
      </c>
      <c r="C31" s="25" t="str">
        <f>+VLOOKUP(B31,cennik!$A:$G,2,FALSE)</f>
        <v>SEVROLL horný vozík Gemini symetr.10mm-2ks</v>
      </c>
      <c r="D31" s="17">
        <f>IF((D50+D51)&gt;D4,0,D4-(D50+D51))</f>
        <v>2</v>
      </c>
      <c r="E31" s="92">
        <f>+VLOOKUP(B31,cennik!$A:$G,3,FALSE)</f>
        <v>5.3269799999999998</v>
      </c>
      <c r="F31" s="92">
        <f t="shared" si="1"/>
        <v>10.65396</v>
      </c>
      <c r="G31" s="93">
        <f t="shared" si="2"/>
        <v>10.65396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-180</v>
      </c>
      <c r="S31" s="5" t="str">
        <f>IF(R31&gt;=D4,IF(SUM(S21:S30)&gt;0,"",1),"")</f>
        <v/>
      </c>
      <c r="U31" s="168" t="str">
        <f>IF(S31=1,3,"")</f>
        <v/>
      </c>
    </row>
    <row r="32" spans="1:22" ht="12.75" customHeight="1">
      <c r="A32" s="7" t="str">
        <f>+System10!A32</f>
        <v>spodné vozíky (sada)</v>
      </c>
      <c r="B32" s="16">
        <f>IF(F4=M67,328321,229441)</f>
        <v>328321</v>
      </c>
      <c r="C32" s="25" t="str">
        <f>+VLOOKUP(B32,cennik!$A:$G,2,FALSE)</f>
        <v>SEV-spodní vozík WD10 V 2ks bez pozicionéru</v>
      </c>
      <c r="D32" s="17">
        <f>+D4</f>
        <v>2</v>
      </c>
      <c r="E32" s="92">
        <f>+VLOOKUP(B32,cennik!$A:$G,3,FALSE)</f>
        <v>6.1947299999999998</v>
      </c>
      <c r="F32" s="92">
        <f t="shared" si="1"/>
        <v>12.38946</v>
      </c>
      <c r="G32" s="93">
        <f t="shared" si="2"/>
        <v>12.38946</v>
      </c>
      <c r="H32" s="6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-196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2" ht="12.75" customHeight="1">
      <c r="A33" s="7" t="str">
        <f>+System10!A33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1"/>
        <v>0</v>
      </c>
      <c r="G33" s="93">
        <f t="shared" si="2"/>
        <v>0</v>
      </c>
      <c r="H33" s="6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  <c r="L33" s="6"/>
    </row>
    <row r="34" spans="1:12" ht="12.75" customHeight="1">
      <c r="A34" s="7" t="str">
        <f>+System10!A34</f>
        <v>úchytková lišta</v>
      </c>
      <c r="B34" s="16">
        <f>+VLOOKUP(P7,data!$C$427:$D$428,2,0)</f>
        <v>223572</v>
      </c>
      <c r="C34" s="25" t="str">
        <f>+VLOOKUP(B34,cennik!$A:$G,2,FALSE)</f>
        <v>SEVROLL Karat úch.lišta 2,7m str</v>
      </c>
      <c r="D34" s="17">
        <f>IF(B12&lt;=1347,D4*2/2,D4*2)</f>
        <v>2</v>
      </c>
      <c r="E34" s="92">
        <f>+VLOOKUP(B34,cennik!$A:$G,3,FALSE)</f>
        <v>23.621919999999999</v>
      </c>
      <c r="F34" s="92">
        <f t="shared" si="1"/>
        <v>47.243839999999999</v>
      </c>
      <c r="G34" s="93">
        <f t="shared" si="2"/>
        <v>47.243839999999999</v>
      </c>
      <c r="H34" s="6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7" t="str">
        <f>+System10!A35</f>
        <v>spojovacia skrutka</v>
      </c>
      <c r="B35" s="6">
        <v>89244</v>
      </c>
      <c r="C35" s="25" t="str">
        <f>+VLOOKUP(B35,cennik!$A:$G,2,FALSE)</f>
        <v>SEVROLL šroubovrut 6,3*32 -Sevroll a Simple</v>
      </c>
      <c r="D35" s="17">
        <f>+D4*4</f>
        <v>8</v>
      </c>
      <c r="E35" s="92">
        <f>+VLOOKUP(B35,cennik!$A:$G,3,FALSE)</f>
        <v>0.14462</v>
      </c>
      <c r="F35" s="92">
        <f t="shared" si="1"/>
        <v>1.15696</v>
      </c>
      <c r="G35" s="93">
        <f t="shared" si="2"/>
        <v>1.15696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3"/>
    </row>
    <row r="36" spans="1:12" ht="12.75" customHeight="1">
      <c r="A36" s="7" t="str">
        <f>+System10!A36</f>
        <v>horný profil rámu (vodiaca lišta)</v>
      </c>
      <c r="B36" s="16">
        <f>+VLOOKUP(O8,data!C262:D276,2,0)</f>
        <v>89230</v>
      </c>
      <c r="C36" s="25" t="str">
        <f>+VLOOKUP(B36,cennik!$A:$G,2,FALSE)</f>
        <v>SEVROLL-206 VOD.LIŠTA HOR.1,7M STRIEBOR.</v>
      </c>
      <c r="D36" s="65">
        <f>N29</f>
        <v>0</v>
      </c>
      <c r="E36" s="92">
        <f>+VLOOKUP(B36,cennik!$A:$G,3,FALSE)</f>
        <v>9.6185399999999994</v>
      </c>
      <c r="F36" s="92">
        <f t="shared" si="1"/>
        <v>0</v>
      </c>
      <c r="G36" s="93">
        <f t="shared" si="2"/>
        <v>0</v>
      </c>
      <c r="H36" s="6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3" t="s">
        <v>15</v>
      </c>
    </row>
    <row r="37" spans="1:12" ht="12.75" customHeight="1">
      <c r="A37" s="7" t="str">
        <f>+System10!A37</f>
        <v>horný profil rámu (vodiaca lišta)</v>
      </c>
      <c r="B37" s="16" t="str">
        <f>IF(M30&lt;&gt;"jiné",+VLOOKUP(M30,data!C262:D287,2,0),"")</f>
        <v/>
      </c>
      <c r="C37" s="38" t="str">
        <f>IF(M30&lt;&gt;"jiné",+VLOOKUP(B37,cennik!$A$3:$G$701,2,FALSE),texty!$A$2)</f>
        <v>druhá lišta nieje potrebná</v>
      </c>
      <c r="D37" s="65">
        <f>N30</f>
        <v>0</v>
      </c>
      <c r="E37" s="94">
        <f>IF(M30&lt;&gt;"jiné",+VLOOKUP(B37,cennik!$A:$G,3,FALSE),0)</f>
        <v>0</v>
      </c>
      <c r="F37" s="92">
        <f t="shared" si="1"/>
        <v>0</v>
      </c>
      <c r="G37" s="93">
        <f t="shared" si="2"/>
        <v>0</v>
      </c>
      <c r="H37" s="6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 t="s">
        <v>15</v>
      </c>
    </row>
    <row r="38" spans="1:12" ht="12.75" customHeight="1">
      <c r="A38" s="7" t="str">
        <f>+System10!A38</f>
        <v>horizontálny spodný profil rámu</v>
      </c>
      <c r="B38" s="6">
        <f>+VLOOKUP(O8,data!$C$315:$D$326,2,0)</f>
        <v>89228</v>
      </c>
      <c r="C38" s="25" t="str">
        <f>+VLOOKUP(B38,cennik!$A:$G,2,FALSE)</f>
        <v>SEVROLL spodná krycia lišta 1,7m strieborná</v>
      </c>
      <c r="D38" s="65">
        <f>N29</f>
        <v>0</v>
      </c>
      <c r="E38" s="92">
        <f>+VLOOKUP(B38,cennik!$A:$G,3,FALSE)</f>
        <v>15.860429999999999</v>
      </c>
      <c r="F38" s="92">
        <f t="shared" si="1"/>
        <v>0</v>
      </c>
      <c r="G38" s="93">
        <f t="shared" si="2"/>
        <v>0</v>
      </c>
      <c r="H38" s="6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 t="s">
        <v>15</v>
      </c>
    </row>
    <row r="39" spans="1:12" ht="12.75" customHeight="1">
      <c r="A39" s="7" t="str">
        <f>+System10!A39</f>
        <v>horizontálny spodný profil rámu</v>
      </c>
      <c r="B39" s="16" t="str">
        <f>IF(M30&lt;&gt;"jiné",+VLOOKUP(M30,data!$C$315:$D$337,2,0),"")</f>
        <v/>
      </c>
      <c r="C39" s="25" t="str">
        <f>IF(M30&lt;&gt;"jiné",+VLOOKUP(B39,cennik!$A$3:$G$701,2,FALSE),texty!A2)</f>
        <v>druhá lišta nieje potrebná</v>
      </c>
      <c r="D39" s="65">
        <f>N30</f>
        <v>0</v>
      </c>
      <c r="E39" s="94">
        <f>IF(M30&lt;&gt;"jiné",+VLOOKUP(B39,cennik!$A:$G,3,FALSE),0)</f>
        <v>0</v>
      </c>
      <c r="F39" s="92">
        <f t="shared" si="1"/>
        <v>0</v>
      </c>
      <c r="G39" s="93">
        <f t="shared" si="2"/>
        <v>0</v>
      </c>
      <c r="H39" s="6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 t="s">
        <v>15</v>
      </c>
    </row>
    <row r="40" spans="1:12" ht="12.75" customHeight="1">
      <c r="E40" s="95"/>
      <c r="F40" s="95"/>
      <c r="G40" s="95"/>
      <c r="H40" s="6"/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 t="s">
        <v>16</v>
      </c>
    </row>
    <row r="41" spans="1:12" ht="12.75" customHeight="1">
      <c r="A41" s="14" t="str">
        <f>texty!$A$66</f>
        <v>Voliteľné príslušenstvo:</v>
      </c>
      <c r="B41" s="15"/>
      <c r="D41" s="26" t="str">
        <f>System10!$D$41</f>
        <v>zadajte počet:</v>
      </c>
      <c r="E41" s="96"/>
      <c r="F41" s="96"/>
      <c r="G41" s="95"/>
      <c r="H41" s="6"/>
      <c r="I41" s="483" t="str">
        <f>IFERROR(IF((VLOOKUP(B41,cennik!A:L,12,0))="O",texty!$A$250,""),"")</f>
        <v/>
      </c>
      <c r="K41" s="196"/>
      <c r="L41" s="3" t="s">
        <v>16</v>
      </c>
    </row>
    <row r="42" spans="1:12" ht="12.75" customHeight="1">
      <c r="A42" s="7" t="str">
        <f>texty!$A$88</f>
        <v>pozicionér do horného vedenia</v>
      </c>
      <c r="B42" s="15">
        <v>298035</v>
      </c>
      <c r="C42" s="25" t="str">
        <f>+VLOOKUP(B42,cennik!$A:$G,2,FALSE)</f>
        <v>SEVROLL Fix pozicionér pre horný vozík tran.</v>
      </c>
      <c r="D42" s="29"/>
      <c r="E42" s="92">
        <f>+VLOOKUP(B42,cennik!$A:$G,3,FALSE)</f>
        <v>1.0605800000000001</v>
      </c>
      <c r="F42" s="97">
        <f t="shared" ref="F42:F53" si="3">+CEILING(D42,1)*E42</f>
        <v>0</v>
      </c>
      <c r="G42" s="93">
        <f t="shared" ref="G42:G55" si="4">+F42*(100-$G$26)/100</f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/>
      <c r="L42" s="3"/>
    </row>
    <row r="43" spans="1:12" ht="12.75" customHeight="1">
      <c r="A43" s="7" t="str">
        <f>+System10!A43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29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6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  <c r="L47" s="6"/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  <c r="L48" s="6"/>
    </row>
    <row r="49" spans="1:12" ht="12.75" customHeight="1">
      <c r="A49" s="436" t="str">
        <f>CONCATENATE(texty!A179,)</f>
        <v>skrutka k spodnémi vedeniu</v>
      </c>
      <c r="B49" s="16">
        <v>98019</v>
      </c>
      <c r="C49" s="25" t="str">
        <f>+VLOOKUP(B49,cennik!$A:$G,2,FALSE)</f>
        <v>SEVROLL-skrutka 2,5*18MM</v>
      </c>
      <c r="D49" s="387"/>
      <c r="E49" s="92">
        <f>+VLOOKUP(B49,cennik!$A:$G,3,FALSE)</f>
        <v>2.8680000000000001E-2</v>
      </c>
      <c r="F49" s="97">
        <f t="shared" si="3"/>
        <v>0</v>
      </c>
      <c r="G49" s="93">
        <f t="shared" si="4"/>
        <v>0</v>
      </c>
      <c r="H49" s="24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  <c r="L49" s="6"/>
    </row>
    <row r="50" spans="1:12" ht="12.75" customHeight="1">
      <c r="A50" s="7" t="str">
        <f>System10!A49</f>
        <v>tlmič dorazu (pár) 25 kg</v>
      </c>
      <c r="B50" s="24">
        <v>227185</v>
      </c>
      <c r="C50" s="25" t="str">
        <f>+VLOOKUP(B50,cennik!$A:$G,2,FALSE)</f>
        <v>K-SEVROLL tlmič dorazu 10/18mm 14-25kg(L+P)</v>
      </c>
      <c r="D50" s="29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  <c r="L50" s="6"/>
    </row>
    <row r="51" spans="1:12" ht="12.75" customHeight="1">
      <c r="A51" s="7" t="str">
        <f>texty!$A$98</f>
        <v>tlmič dorazu (pár) 50 kg</v>
      </c>
      <c r="B51" s="24">
        <v>227187</v>
      </c>
      <c r="C51" s="25" t="str">
        <f>+VLOOKUP(B51,cennik!$A:$G,2,FALSE)</f>
        <v>K-SEVROLL tlmič dorazu 10/18mm 25-50kg(L+P)</v>
      </c>
      <c r="D51" s="29"/>
      <c r="E51" s="92">
        <f>+VLOOKUP(B51,cennik!$A:$G,3,FALSE)</f>
        <v>0</v>
      </c>
      <c r="F51" s="97">
        <f t="shared" si="3"/>
        <v>0</v>
      </c>
      <c r="G51" s="93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</row>
    <row r="52" spans="1:12" ht="12.75" customHeight="1">
      <c r="A52" s="7" t="str">
        <f>System10!A51</f>
        <v>spojovací profil H10-3metre</v>
      </c>
      <c r="B52" s="16">
        <f>+VLOOKUP(P7,data!C390:D399,2,0)</f>
        <v>89236</v>
      </c>
      <c r="C52" s="25" t="str">
        <f>+VLOOKUP(B52,cennik!$A:$G,2,FALSE)</f>
        <v>SEVROLL- SPOJ.LIŠTA "H10" 3M STR.</v>
      </c>
      <c r="D52" s="29"/>
      <c r="E52" s="92">
        <f>+VLOOKUP(B52,cennik!$A:$G,3,FALSE)</f>
        <v>17.52046</v>
      </c>
      <c r="F52" s="97">
        <f t="shared" si="3"/>
        <v>0</v>
      </c>
      <c r="G52" s="93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2" ht="12.75" customHeight="1">
      <c r="A53" s="7" t="str">
        <f>System10!A52</f>
        <v>spojovací profil H30-3metre</v>
      </c>
      <c r="B53" s="17">
        <f>+VLOOKUP(P7,data!C399:D405,2,0)</f>
        <v>89069</v>
      </c>
      <c r="C53" s="25" t="str">
        <f>+VLOOKUP(B53,cennik!$A:$G,2,FALSE)</f>
        <v>SEVROLL-253S-SPOJ.LIŠTA H-30mm STR 3m</v>
      </c>
      <c r="D53" s="29"/>
      <c r="E53" s="92">
        <f>+VLOOKUP(B53,cennik!$A:$G,3,FALSE)</f>
        <v>26.594049999999999</v>
      </c>
      <c r="F53" s="97">
        <f t="shared" si="3"/>
        <v>0</v>
      </c>
      <c r="G53" s="93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</row>
    <row r="54" spans="1:12" ht="12.75" customHeight="1">
      <c r="A54" s="436" t="str">
        <f>texty!A240</f>
        <v>zámok posuvných dverí</v>
      </c>
      <c r="B54" s="17">
        <v>363019</v>
      </c>
      <c r="C54" s="25" t="str">
        <f>+VLOOKUP(B54,cennik!$A:$G,2,FALSE)</f>
        <v/>
      </c>
      <c r="D54" s="473"/>
      <c r="E54" s="92">
        <f>+VLOOKUP(B54,cennik!$A:$G,3,FALSE)</f>
        <v>34.372300000000003</v>
      </c>
      <c r="F54" s="92">
        <f>+E54*D54</f>
        <v>0</v>
      </c>
      <c r="G54" s="93">
        <f t="shared" si="4"/>
        <v>0</v>
      </c>
      <c r="H54" s="24" t="str">
        <f>cennik!$B$2</f>
        <v>EUR</v>
      </c>
      <c r="I54" s="483" t="str">
        <f>IFERROR(IF((VLOOKUP(B54,cennik!A:L,12,0))="O",texty!$A$250,""),"")</f>
        <v>Na objednávku</v>
      </c>
      <c r="K54" s="196" t="str">
        <f>IF(D54&gt;0,IF(VLOOKUP(B54,cennik!A:L,12,FALSE)="O",1,""),"")</f>
        <v/>
      </c>
      <c r="L54" s="6"/>
    </row>
    <row r="55" spans="1:12" ht="12.75" customHeight="1">
      <c r="A55" s="7" t="str">
        <f>texty!$A$92</f>
        <v>spojovacia skrutka</v>
      </c>
      <c r="B55" s="16">
        <v>89244</v>
      </c>
      <c r="C55" s="25" t="str">
        <f>+VLOOKUP(B55,cennik!$A:$G,2,FALSE)</f>
        <v>SEVROLL šroubovrut 6,3*32 -Sevroll a Simple</v>
      </c>
      <c r="D55" s="30"/>
      <c r="E55" s="92">
        <f>+VLOOKUP(B55,cennik!$A:$G,3,FALSE)</f>
        <v>0.14462</v>
      </c>
      <c r="F55" s="92">
        <f>+E55*D55</f>
        <v>0</v>
      </c>
      <c r="G55" s="93">
        <f t="shared" si="4"/>
        <v>0</v>
      </c>
      <c r="H55" s="6" t="str">
        <f>cennik!$B$2</f>
        <v>EUR</v>
      </c>
      <c r="I55" s="483" t="str">
        <f>IFERROR(IF((VLOOKUP(B55,cennik!A:L,12,0))="O",texty!$A$250,""),"")</f>
        <v/>
      </c>
      <c r="K55" s="196" t="str">
        <f>IF(D55&gt;0,IF(VLOOKUP(B55,cennik!A:L,12,FALSE)="O",1,""),"")</f>
        <v/>
      </c>
      <c r="L55" s="6"/>
    </row>
    <row r="56" spans="1:12" ht="12.75" customHeight="1">
      <c r="I56" s="483" t="str">
        <f>IFERROR(IF((VLOOKUP(B56,cennik!A:L,12,0))="O",texty!$A$250,""),"")</f>
        <v/>
      </c>
      <c r="K56" s="196" t="str">
        <f>IF(D55&gt;0,IF(VLOOKUP(B55,cennik!A:L,12,FALSE)="O",1,""),"")</f>
        <v/>
      </c>
      <c r="L56" s="6"/>
    </row>
    <row r="57" spans="1:12" ht="12.75" customHeight="1">
      <c r="A57" s="41" t="str">
        <f>CONCATENATE(texty!$A$6,ROUND((C13/1000),1),texty!$A$8)</f>
        <v>Pokiaľ budete používať ako výplň sklo / zrkadlo, je nutné doobjednať tesnenie. Dĺžka tesnenia na jedno krídlo je -0,3m, pokiaľ je preskenných viac krídel, treba vynásobiť</v>
      </c>
      <c r="B57" s="42"/>
      <c r="C57" s="43"/>
      <c r="D57" s="44"/>
      <c r="E57" s="98"/>
      <c r="F57" s="98"/>
      <c r="G57" s="98"/>
      <c r="H57" s="6"/>
      <c r="I57" s="483" t="str">
        <f>IFERROR(IF((VLOOKUP(B57,cennik!A:L,12,0))="O",texty!$A$250,""),"")</f>
        <v/>
      </c>
      <c r="J57" s="186"/>
      <c r="K57" s="196" t="str">
        <f>IF(D57&gt;0,IF(VLOOKUP(B57,cennik!A:L,12,FALSE)="O",1,""),"")</f>
        <v/>
      </c>
      <c r="L57" s="6"/>
    </row>
    <row r="58" spans="1:12" ht="12.75" customHeight="1">
      <c r="C58" s="40" t="str">
        <f>texty!$A$10</f>
        <v>Potrebná dĺžka tesnenia pri celkovom presklení (nutné objednať celé metre)</v>
      </c>
      <c r="D58" s="39">
        <f>CEILING(((B9+C9)*2/1000*D4),1)</f>
        <v>0</v>
      </c>
      <c r="E58" s="95"/>
      <c r="F58" s="95"/>
      <c r="G58" s="95"/>
      <c r="H58" s="95"/>
      <c r="I58" s="483" t="str">
        <f>IFERROR(IF((VLOOKUP(B58,cennik!A:L,12,0))="O",texty!$A$250,""),"")</f>
        <v/>
      </c>
      <c r="J58" s="186"/>
      <c r="K58" s="196"/>
      <c r="L58" s="6"/>
    </row>
    <row r="59" spans="1:12" ht="12.75" customHeight="1">
      <c r="A59" s="48" t="str">
        <f>texty!$A$12</f>
        <v>(pri kombináciach s H profilmi je nutné pripočítať potrebnú dĺžku - tesnenie musí byť po celom odvode každého skla</v>
      </c>
      <c r="B59" s="46"/>
      <c r="C59" s="47"/>
      <c r="D59" s="46"/>
      <c r="E59" s="100"/>
      <c r="F59" s="100"/>
      <c r="G59" s="100"/>
      <c r="H59" s="6"/>
      <c r="I59" s="483" t="str">
        <f>IFERROR(IF((VLOOKUP(B59,cennik!A:L,12,0))="O",texty!$A$250,""),"")</f>
        <v/>
      </c>
      <c r="J59" s="186"/>
      <c r="K59" s="196" t="str">
        <f>IF(D59&gt;0,IF(VLOOKUP(B59,cennik!A:L,12,FALSE)="O",1,""),"")</f>
        <v/>
      </c>
      <c r="L59" s="6"/>
    </row>
    <row r="60" spans="1:12" ht="12.75" customHeight="1">
      <c r="A60" s="7" t="str">
        <f>System10!A59</f>
        <v>tesnenie na sklo 4mm</v>
      </c>
      <c r="B60" s="17">
        <v>89238</v>
      </c>
      <c r="C60" s="25" t="str">
        <f>+VLOOKUP(B60,cennik!$A:$G,2,FALSE)</f>
        <v>SEVROLL tesnenie na sklo 10/4mm</v>
      </c>
      <c r="D60" s="45"/>
      <c r="E60" s="92">
        <f>+VLOOKUP(B60,cennik!$A:$G,3,FALSE)</f>
        <v>0.89917999999999998</v>
      </c>
      <c r="F60" s="97">
        <f>+CEILING(D60,1)*E60</f>
        <v>0</v>
      </c>
      <c r="G60" s="93">
        <f>+F60*(100-$G$26)/100</f>
        <v>0</v>
      </c>
      <c r="H60" s="6" t="str">
        <f>cennik!$B$2</f>
        <v>EUR</v>
      </c>
      <c r="I60" s="483" t="str">
        <f>IFERROR(IF((VLOOKUP(B60,cennik!A:L,12,0))="O",texty!$A$250,""),"")</f>
        <v/>
      </c>
      <c r="J60" s="186"/>
      <c r="K60" s="196" t="str">
        <f>IF(D60&gt;0,IF(VLOOKUP(B60,cennik!A:L,12,FALSE)="O",1,""),"")</f>
        <v/>
      </c>
      <c r="L60" s="6"/>
    </row>
    <row r="61" spans="1:12" ht="12.75" customHeight="1">
      <c r="A61" s="7" t="str">
        <f>texty!A103</f>
        <v>tesnenie na sklo 4,5 mm</v>
      </c>
      <c r="B61" s="17">
        <v>135164</v>
      </c>
      <c r="C61" s="25" t="str">
        <f>+VLOOKUP(B61,cennik!$A:$G,2,FALSE)</f>
        <v>SEVROLL- TESNENIE NA SKLO 4,5mm</v>
      </c>
      <c r="D61" s="45"/>
      <c r="E61" s="92">
        <f>+VLOOKUP(B61,cennik!$A:$G,3,FALSE)</f>
        <v>0.79542999999999997</v>
      </c>
      <c r="F61" s="97">
        <f>+CEILING(D61,1)*E61</f>
        <v>0</v>
      </c>
      <c r="G61" s="93">
        <f>+F61*(100-$G$26)/100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86"/>
      <c r="K61" s="196" t="str">
        <f>IF(D61&gt;0,IF(VLOOKUP(B61,cennik!A:L,12,FALSE)="O",1,""),"")</f>
        <v/>
      </c>
      <c r="L61" s="3"/>
    </row>
    <row r="62" spans="1:12" ht="12.75" customHeight="1">
      <c r="A62" s="7" t="str">
        <f>System10!A61</f>
        <v>tesnenie na sklo 6mm</v>
      </c>
      <c r="B62" s="17">
        <v>89243</v>
      </c>
      <c r="C62" s="25" t="str">
        <f>+VLOOKUP(B62,cennik!$A:$G,2,FALSE)</f>
        <v>SEVROLL tesnenie na sklo 10/6mm</v>
      </c>
      <c r="D62" s="45"/>
      <c r="E62" s="92">
        <f>+VLOOKUP(B62,cennik!$A:$G,3,FALSE)</f>
        <v>0.89917999999999998</v>
      </c>
      <c r="F62" s="97">
        <f>+CEILING(D62,1)*E62</f>
        <v>0</v>
      </c>
      <c r="G62" s="93">
        <f>+F62*(100-$G$26)/100</f>
        <v>0</v>
      </c>
      <c r="H62" s="6" t="str">
        <f>cennik!$B$2</f>
        <v>EUR</v>
      </c>
      <c r="I62" s="483" t="str">
        <f>IFERROR(IF((VLOOKUP(B62,cennik!A:L,12,0))="O",texty!$A$250,""),"")</f>
        <v/>
      </c>
      <c r="J62" s="186"/>
      <c r="K62" s="196" t="str">
        <f>IF(D62&gt;0,IF(VLOOKUP(B62,cennik!A:L,12,FALSE)="O",1,""),"")</f>
        <v/>
      </c>
      <c r="L62" s="6"/>
    </row>
    <row r="63" spans="1:12" ht="16">
      <c r="A63" s="285" t="str">
        <f>texty!$A$190</f>
        <v>Ďalšie príslušenstvo</v>
      </c>
      <c r="E63" s="95"/>
      <c r="F63" s="95"/>
      <c r="G63" s="95"/>
      <c r="H63" s="6"/>
      <c r="I63" s="483" t="str">
        <f>IFERROR(IF((VLOOKUP(B63,cennik!A:L,12,0))="O",texty!$A$250,""),"")</f>
        <v/>
      </c>
      <c r="J63" s="186"/>
      <c r="K63" s="196" t="str">
        <f>IF(D63&gt;0,IF(VLOOKUP(B63,cennik!A:L,12,FALSE)="O",1,""),"")</f>
        <v/>
      </c>
      <c r="L63" s="6"/>
    </row>
    <row r="64" spans="1:12" ht="12.75" customHeight="1">
      <c r="A64" s="285" t="str">
        <f>texty!$A$244</f>
        <v>Technický nákres tohoto systému</v>
      </c>
      <c r="B64" s="172">
        <v>129677</v>
      </c>
      <c r="C64" s="172" t="str">
        <f>VLOOKUP(B64,cennik!A:C,2,0)</f>
        <v>SEVROLL-MONT.PRÍPRAVOK NA DTD 10mm MALÝ</v>
      </c>
      <c r="D64" s="45"/>
      <c r="E64" s="92">
        <f>+VLOOKUP(B64,cennik!$A:$G,3,FALSE)</f>
        <v>5.60419</v>
      </c>
      <c r="F64" s="97">
        <f>+CEILING(D64,1)*E64</f>
        <v>0</v>
      </c>
      <c r="G64" s="93">
        <f>F64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86"/>
      <c r="K64" s="196" t="str">
        <f>IF(D64&gt;0,IF(VLOOKUP(B64,cennik!A:L,12,FALSE)="O",1,""),"")</f>
        <v/>
      </c>
      <c r="L64" s="6"/>
    </row>
    <row r="65" spans="1:14" ht="12.75" customHeight="1">
      <c r="B65" s="172">
        <v>128842</v>
      </c>
      <c r="C65" s="172" t="str">
        <f>VLOOKUP(B65,cennik!A:C,2,0)</f>
        <v>SEVROLL-VRTÁK STUPŇOVITÝ 6,5/9,5mm</v>
      </c>
      <c r="D65" s="45"/>
      <c r="E65" s="92">
        <f>+VLOOKUP(B65,cennik!$A:$G,3,FALSE)</f>
        <v>23.986910000000002</v>
      </c>
      <c r="F65" s="97">
        <f>+CEILING(D65,1)*E65</f>
        <v>0</v>
      </c>
      <c r="G65" s="93">
        <f>F65</f>
        <v>0</v>
      </c>
      <c r="H65" s="6" t="str">
        <f>cennik!$B$2</f>
        <v>EUR</v>
      </c>
      <c r="I65" s="483" t="str">
        <f>IFERROR(IF((VLOOKUP(B65,cennik!A:L,12,0))="O",texty!$A$250,""),"")</f>
        <v/>
      </c>
      <c r="J65" s="186"/>
      <c r="K65" s="196" t="str">
        <f>IF(D65&gt;0,IF(VLOOKUP(B65,cennik!A:L,12,FALSE)="O",1,""),"")</f>
        <v/>
      </c>
      <c r="L65" s="6"/>
    </row>
    <row r="66" spans="1:14" ht="12.75" customHeight="1">
      <c r="A66" s="655" t="str">
        <f>IF(SUM(D50:D51)&gt;0,IF(C7&lt;(B4/3),texty!$A$212,""),"")</f>
        <v/>
      </c>
      <c r="B66" s="655"/>
      <c r="C66" s="655"/>
      <c r="D66" s="655"/>
      <c r="E66" s="655"/>
      <c r="F66" s="655"/>
      <c r="G66" s="655"/>
      <c r="H66" s="655"/>
      <c r="I66" s="655"/>
      <c r="J66" s="655"/>
      <c r="K66" s="135"/>
    </row>
    <row r="67" spans="1:14" ht="12.75" customHeight="1">
      <c r="B67" s="8"/>
      <c r="C67" s="8"/>
      <c r="D67" s="77" t="str">
        <f>texty!$A$15</f>
        <v>CELKOM  (bez DPH)</v>
      </c>
      <c r="E67" s="100"/>
      <c r="F67" s="102">
        <f>SUM(F28:F65)</f>
        <v>99.428969999999993</v>
      </c>
      <c r="G67" s="102">
        <f>SUM(G28:G65)</f>
        <v>99.428969999999993</v>
      </c>
      <c r="H67" s="6" t="str">
        <f>cennik!$B$2</f>
        <v>EUR</v>
      </c>
      <c r="J67" s="186"/>
      <c r="K67" s="186"/>
      <c r="L67" s="5" t="str">
        <f>texty!A128</f>
        <v xml:space="preserve">strieborná </v>
      </c>
      <c r="M67" s="21" t="s">
        <v>2884</v>
      </c>
    </row>
    <row r="68" spans="1:14" ht="12.75" customHeight="1">
      <c r="A68" s="76" t="str">
        <f>System10!$A$67</f>
        <v>Vaša poznámka:</v>
      </c>
      <c r="B68" s="661"/>
      <c r="C68" s="662"/>
      <c r="D68" s="662"/>
      <c r="E68" s="662"/>
      <c r="F68" s="662"/>
      <c r="G68" s="663"/>
      <c r="I68" s="5"/>
      <c r="L68" s="5" t="str">
        <f>texty!A130</f>
        <v>oliva</v>
      </c>
      <c r="M68" s="21" t="s">
        <v>45</v>
      </c>
    </row>
    <row r="69" spans="1:14" ht="12.75" customHeight="1">
      <c r="A69" s="657">
        <f>profil!$U$15</f>
        <v>0</v>
      </c>
      <c r="B69" s="658"/>
      <c r="C69" s="658"/>
      <c r="D69" s="658"/>
      <c r="E69" s="658"/>
      <c r="F69" s="658"/>
      <c r="G69" s="658"/>
      <c r="H69" s="658"/>
    </row>
    <row r="70" spans="1:14" ht="12.75" customHeight="1">
      <c r="A70" s="659" t="str">
        <f>IF(N70=1,texty!$A$215,IF(K70&gt;0,texty!$A$214,""))</f>
        <v/>
      </c>
      <c r="B70" s="659"/>
      <c r="C70" s="659"/>
      <c r="D70" s="659"/>
      <c r="E70" s="659"/>
      <c r="F70" s="659"/>
      <c r="G70" s="659"/>
      <c r="H70" s="659"/>
      <c r="K70" s="6">
        <f>SUM(K28:K65)</f>
        <v>0</v>
      </c>
      <c r="N70" s="5">
        <f>IF(ISERROR(K70),1,0)</f>
        <v>0</v>
      </c>
    </row>
    <row r="71" spans="1:14" ht="12.75" customHeight="1"/>
    <row r="72" spans="1:14" ht="12.75" customHeight="1"/>
    <row r="73" spans="1:14" ht="12.75" customHeight="1"/>
  </sheetData>
  <sheetProtection algorithmName="SHA-512" hashValue="qMloh8rhe5ihL4/BT7QAvlssOV2xusp1Ie1IYWkHy71Fn5Ho+kGUUJf2qtOFguuyLSGonTRjQp2SQ0HK2yLhIA==" saltValue="C+IKdvLoikQQ5yO3duqDyg==" spinCount="100000" sheet="1" objects="1" scenarios="1"/>
  <mergeCells count="13">
    <mergeCell ref="A69:H69"/>
    <mergeCell ref="A70:H70"/>
    <mergeCell ref="R6:R7"/>
    <mergeCell ref="S6:S7"/>
    <mergeCell ref="B5:F5"/>
    <mergeCell ref="B68:G68"/>
    <mergeCell ref="A14:B15"/>
    <mergeCell ref="T6:T7"/>
    <mergeCell ref="U6:U7"/>
    <mergeCell ref="A66:J66"/>
    <mergeCell ref="G4:I6"/>
    <mergeCell ref="I19:I20"/>
    <mergeCell ref="I21:I22"/>
  </mergeCells>
  <conditionalFormatting sqref="D55">
    <cfRule type="expression" dxfId="210" priority="9" stopIfTrue="1">
      <formula>IF(#REF!&gt;0,IF($D$55=0,1,0),0)</formula>
    </cfRule>
  </conditionalFormatting>
  <conditionalFormatting sqref="D6">
    <cfRule type="expression" dxfId="209" priority="7">
      <formula>$D$4=4</formula>
    </cfRule>
    <cfRule type="expression" dxfId="208" priority="8">
      <formula>$D$4&lt;&gt;4</formula>
    </cfRule>
  </conditionalFormatting>
  <conditionalFormatting sqref="G4">
    <cfRule type="expression" dxfId="207" priority="6">
      <formula>$D$4=4</formula>
    </cfRule>
  </conditionalFormatting>
  <conditionalFormatting sqref="I19:I20">
    <cfRule type="expression" dxfId="206" priority="4">
      <formula>$F$4=$M$68</formula>
    </cfRule>
  </conditionalFormatting>
  <conditionalFormatting sqref="I21:I22">
    <cfRule type="expression" dxfId="205" priority="5">
      <formula>$F$4=$M$67</formula>
    </cfRule>
  </conditionalFormatting>
  <conditionalFormatting sqref="A14">
    <cfRule type="expression" dxfId="204" priority="3">
      <formula>SUM($D$47:$D$48)&gt;0</formula>
    </cfRule>
  </conditionalFormatting>
  <dataValidations count="7">
    <dataValidation type="decimal" allowBlank="1" showInputMessage="1" showErrorMessage="1" errorTitle="Nelze" error="Maximální výška je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E6: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38EA97C-D7BE-43E0-979B-F44E12EC1244}">
            <xm:f>$I28=texty!$A$250</xm:f>
            <x14:dxf>
              <font>
                <color rgb="FFFF0000"/>
              </font>
            </x14:dxf>
          </x14:cfRule>
          <xm:sqref>I28:I65</xm:sqref>
        </x14:conditionalFormatting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IW71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9.5" style="5" customWidth="1"/>
    <col min="2" max="2" width="15.83203125" style="5" customWidth="1"/>
    <col min="3" max="3" width="37.5" style="5" customWidth="1"/>
    <col min="4" max="4" width="13.6640625" style="5" customWidth="1"/>
    <col min="5" max="7" width="14.6640625" style="5" customWidth="1"/>
    <col min="8" max="8" width="4.832031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257" width="0" style="5" hidden="1" customWidth="1"/>
    <col min="258" max="16384" width="9.1640625" style="5" hidden="1"/>
  </cols>
  <sheetData>
    <row r="1" spans="1:22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-6.25</v>
      </c>
    </row>
    <row r="2" spans="1:22" ht="18.75" customHeight="1">
      <c r="A2" s="538" t="s">
        <v>46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2" ht="29" thickBot="1">
      <c r="A3" s="539" t="str">
        <f>CONCATENATE(texty!A243," ",5,".",50)</f>
        <v>katalóg kovania 2018 str. 5.50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22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17">
        <f>IF(C4&lt;1701,1700,IF(C4&lt;2351,2350,IF(C4&lt;3001,3000,IF(C4&lt;4051,4050,6000))))</f>
        <v>1700</v>
      </c>
      <c r="M4" s="21"/>
      <c r="N4" s="17">
        <f>IF(C4&lt;1701,1700,IF(C4&lt;2351,2350,IF(C4&lt;3001,3000,IF(C4&lt;4051,4050,6000))))</f>
        <v>1700</v>
      </c>
    </row>
    <row r="5" spans="1:22" ht="18" customHeight="1">
      <c r="A5" s="10"/>
      <c r="B5" s="660" t="str">
        <f>+System10!B5</f>
        <v>vypíšte týchto 5 políčok !!! Údaje v mm</v>
      </c>
      <c r="C5" s="660"/>
      <c r="D5" s="660"/>
      <c r="E5" s="660"/>
      <c r="F5" s="660"/>
      <c r="G5" s="656"/>
      <c r="H5" s="656"/>
      <c r="I5" s="656"/>
      <c r="K5" s="195"/>
      <c r="L5" s="23" t="str">
        <f>CONCATENATE(L4,"-",E4)</f>
        <v xml:space="preserve">1700-strieborná </v>
      </c>
      <c r="M5" s="21"/>
      <c r="N5" s="23" t="str">
        <f>CONCATENATE(N4,"-",E4,", ",F4)</f>
        <v>1700-strieborná , Elegant II</v>
      </c>
    </row>
    <row r="6" spans="1:22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10" t="str">
        <f>+System10!A7</f>
        <v>krídlo dverí:</v>
      </c>
      <c r="B7" s="57">
        <f>+B4-40</f>
        <v>-40</v>
      </c>
      <c r="C7" s="59">
        <f>+(C4-3+(22*(D4-1)))/D4+IF(AND(D4=4,D6=2),M1,0)</f>
        <v>13.666666666666666</v>
      </c>
      <c r="D7" s="8"/>
      <c r="E7" s="8"/>
      <c r="F7" s="8"/>
      <c r="G7" s="50" t="str">
        <f>texty!$A$39</f>
        <v>V prípade použitia skla ako výplne</v>
      </c>
      <c r="H7" s="6"/>
      <c r="L7" s="6"/>
      <c r="O7" s="17">
        <f>IF(L11="jiné",M12,L11)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2" ht="12.75" customHeight="1">
      <c r="A8" s="10" t="str">
        <f>+System10!A8</f>
        <v>rozmer výplne 10 mm:</v>
      </c>
      <c r="B8" s="57">
        <f>+B7-64</f>
        <v>-104</v>
      </c>
      <c r="C8" s="59">
        <f>+C7-25</f>
        <v>-11.333333333333334</v>
      </c>
      <c r="D8" s="8"/>
      <c r="E8" s="8"/>
      <c r="F8" s="8"/>
      <c r="G8" s="50" t="str">
        <f>texty!$A$40</f>
        <v>je treba použiť bezpečnostné sklo</v>
      </c>
      <c r="H8" s="6"/>
      <c r="L8" s="6" t="s">
        <v>73</v>
      </c>
      <c r="M8" s="5" t="s">
        <v>74</v>
      </c>
      <c r="O8" s="23" t="str">
        <f>CONCATENATE(O7,"-",E4)</f>
        <v xml:space="preserve">1700-strieborná </v>
      </c>
      <c r="P8" s="21"/>
      <c r="Q8" s="5">
        <v>1</v>
      </c>
      <c r="R8" s="164">
        <f>$C$10+5</f>
        <v>-23.333333333333336</v>
      </c>
      <c r="S8" s="5">
        <f>FLOOR(1700/R8,1)</f>
        <v>-73</v>
      </c>
      <c r="T8" s="5">
        <f>FLOOR(2350/R8,1)</f>
        <v>-101</v>
      </c>
      <c r="U8" s="5">
        <f>FLOOR(3000/R8,1)</f>
        <v>-129</v>
      </c>
    </row>
    <row r="9" spans="1:22" ht="12.75" customHeight="1">
      <c r="A9" s="10" t="str">
        <f>+System10!A9</f>
        <v>rozmer zrkadla / skla</v>
      </c>
      <c r="B9" s="57">
        <f>+B8</f>
        <v>-104</v>
      </c>
      <c r="C9" s="59">
        <f>+C8-4</f>
        <v>-15.333333333333334</v>
      </c>
      <c r="D9" s="8"/>
      <c r="E9" s="8"/>
      <c r="F9" s="8"/>
      <c r="G9" s="50" t="str">
        <f>texty!$A$41</f>
        <v>alebo sklo zabezpečiť ochrannou fóliou</v>
      </c>
      <c r="H9" s="6"/>
      <c r="L9" s="37">
        <f>C10*D4</f>
        <v>-85</v>
      </c>
      <c r="M9" s="36">
        <f>(D4+1)*5</f>
        <v>20</v>
      </c>
      <c r="Q9" s="5">
        <v>2</v>
      </c>
      <c r="R9" s="164">
        <f t="shared" ref="R9:R14" si="0">R8+$C$10+5</f>
        <v>-46.666666666666671</v>
      </c>
      <c r="S9" s="5">
        <f>(1700-C10)*S17</f>
        <v>-1728.3333333333333</v>
      </c>
      <c r="T9" s="5">
        <f>(2350-C10)*T17</f>
        <v>-2378.3333333333335</v>
      </c>
      <c r="U9" s="5">
        <f>(3000-C10)*U17</f>
        <v>-3028.3333333333335</v>
      </c>
      <c r="V9" s="5" t="s">
        <v>651</v>
      </c>
    </row>
    <row r="10" spans="1:22" ht="12.75" customHeight="1">
      <c r="A10" s="10" t="str">
        <f>+System10!A10</f>
        <v>dĺžka vodiacej a krycej lišty krídla</v>
      </c>
      <c r="B10" s="57"/>
      <c r="C10" s="60">
        <f>+C7-42</f>
        <v>-28.333333333333336</v>
      </c>
      <c r="D10" s="8"/>
      <c r="E10" s="8"/>
      <c r="F10" s="8"/>
      <c r="G10" s="49"/>
      <c r="H10" s="6"/>
      <c r="L10" s="5" t="s">
        <v>72</v>
      </c>
      <c r="O10" s="17" t="str">
        <f>IF(L11="jiné",M13,"")</f>
        <v/>
      </c>
      <c r="P10" s="21" t="str">
        <f>+E4</f>
        <v xml:space="preserve">strieborná </v>
      </c>
      <c r="Q10" s="5">
        <v>3</v>
      </c>
      <c r="R10" s="164">
        <f t="shared" si="0"/>
        <v>-70</v>
      </c>
    </row>
    <row r="11" spans="1:22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F11" s="8"/>
      <c r="G11" s="3" t="str">
        <f>texty!$A$43</f>
        <v>Maximálna hmotnosť krídla je 50 kg</v>
      </c>
      <c r="H11" s="6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 xml:space="preserve">-strieborná </v>
      </c>
      <c r="P11" s="21"/>
      <c r="Q11" s="5">
        <v>4</v>
      </c>
      <c r="R11" s="164">
        <f t="shared" si="0"/>
        <v>-93.333333333333343</v>
      </c>
    </row>
    <row r="12" spans="1:22" ht="12.75" customHeight="1">
      <c r="A12" s="10" t="str">
        <f>+System10!$A$12</f>
        <v>úchytková lišta</v>
      </c>
      <c r="B12" s="502">
        <f>+B7</f>
        <v>-40</v>
      </c>
      <c r="C12" s="503"/>
      <c r="D12" s="8"/>
      <c r="E12" s="8"/>
      <c r="F12" s="8"/>
      <c r="G12" s="6"/>
      <c r="H12" s="6"/>
      <c r="L12" s="6">
        <f>C10*(D4-1)+(D4*5)</f>
        <v>-41.666666666666671</v>
      </c>
      <c r="M12" s="5">
        <f>IF(L12&lt;1700,1700,IF(L12&lt;2350,2350,IF(L12&lt;3000,3000,3000)))</f>
        <v>1700</v>
      </c>
      <c r="N12" s="5">
        <f>M12-L12</f>
        <v>1741.6666666666667</v>
      </c>
      <c r="Q12" s="5">
        <v>5</v>
      </c>
      <c r="R12" s="164">
        <f t="shared" si="0"/>
        <v>-116.66666666666669</v>
      </c>
    </row>
    <row r="13" spans="1:22" ht="12.75" customHeight="1">
      <c r="A13" s="147" t="str">
        <f>System10!A13</f>
        <v>Dĺžka tesnenia na sklo na jednom krídle</v>
      </c>
      <c r="B13" s="58"/>
      <c r="C13" s="145">
        <f>ROUND(B8*2+C9*2,0)</f>
        <v>-239</v>
      </c>
      <c r="D13" s="8"/>
      <c r="E13" s="8"/>
      <c r="F13" s="8"/>
      <c r="G13" s="6"/>
      <c r="H13" s="6"/>
      <c r="L13" s="35">
        <f>C10+10</f>
        <v>-18.333333333333336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5">
        <f>M13-L13</f>
        <v>1718.3333333333333</v>
      </c>
      <c r="Q13" s="5">
        <v>6</v>
      </c>
      <c r="R13" s="164">
        <f t="shared" si="0"/>
        <v>-140.00000000000003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8"/>
      <c r="G14" s="6"/>
      <c r="H14" s="6"/>
      <c r="L14" s="6"/>
      <c r="M14" s="5">
        <f>SUM(M12:M13)</f>
        <v>3400</v>
      </c>
      <c r="N14" s="5">
        <f>SUM(N12:N13)</f>
        <v>3460</v>
      </c>
      <c r="Q14" s="5">
        <v>7</v>
      </c>
      <c r="R14" s="164">
        <f t="shared" si="0"/>
        <v>-163.33333333333337</v>
      </c>
    </row>
    <row r="15" spans="1:22" ht="17.25" customHeight="1">
      <c r="A15" s="644"/>
      <c r="B15" s="644"/>
      <c r="C15" s="504"/>
      <c r="D15" s="8"/>
      <c r="E15" s="8"/>
      <c r="F15" s="8"/>
      <c r="G15" s="6"/>
      <c r="H15" s="6"/>
      <c r="L15" s="6"/>
      <c r="R15" s="164"/>
    </row>
    <row r="16" spans="1:22" ht="13">
      <c r="A16" s="436"/>
      <c r="B16" s="17"/>
      <c r="C16" s="504"/>
      <c r="D16" s="8"/>
      <c r="E16" s="8"/>
      <c r="F16" s="8"/>
      <c r="G16" s="6"/>
      <c r="H16" s="6"/>
      <c r="L16" s="6"/>
      <c r="R16" s="164"/>
    </row>
    <row r="17" spans="1:22" ht="12.75" customHeight="1">
      <c r="B17" s="17"/>
      <c r="C17" s="447"/>
      <c r="D17" s="8"/>
      <c r="E17" s="8"/>
      <c r="F17" s="8"/>
      <c r="G17" s="6"/>
      <c r="H17" s="6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2" ht="12.75" customHeight="1">
      <c r="A18" s="436"/>
      <c r="B18" s="17"/>
      <c r="C18" s="447"/>
      <c r="D18" s="8"/>
      <c r="E18" s="8"/>
      <c r="F18" s="8"/>
      <c r="G18" s="6"/>
      <c r="H18" s="6"/>
      <c r="L18" s="6"/>
    </row>
    <row r="19" spans="1:22" ht="14.25" customHeight="1">
      <c r="A19" s="436"/>
      <c r="B19" s="498" t="str">
        <f>texty!A242</f>
        <v>dilatácia 4 mm</v>
      </c>
      <c r="C19" s="120"/>
      <c r="D19" s="8"/>
      <c r="E19" s="8"/>
      <c r="F19" s="8"/>
      <c r="G19" s="6"/>
      <c r="H19" s="6"/>
      <c r="I19" s="647" t="s">
        <v>2890</v>
      </c>
      <c r="L19" s="6"/>
    </row>
    <row r="20" spans="1:22" ht="16.5" customHeight="1">
      <c r="A20" s="7"/>
      <c r="B20" s="8"/>
      <c r="C20" s="8"/>
      <c r="E20" s="8"/>
      <c r="F20" s="8"/>
      <c r="G20" s="6"/>
      <c r="H20" s="6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2" ht="16.5" customHeight="1">
      <c r="A21" s="7"/>
      <c r="B21" s="8"/>
      <c r="C21" s="8"/>
      <c r="D21" s="13"/>
      <c r="E21" s="8"/>
      <c r="F21" s="8"/>
      <c r="G21" s="6"/>
      <c r="H21" s="6"/>
      <c r="I21" s="648" t="s">
        <v>2891</v>
      </c>
      <c r="L21" s="6"/>
      <c r="Q21" s="5">
        <v>1</v>
      </c>
      <c r="R21" s="5">
        <f>S8</f>
        <v>-73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2" ht="12.75" customHeight="1">
      <c r="A22" s="7"/>
      <c r="B22" s="8"/>
      <c r="C22" s="8"/>
      <c r="D22" s="8"/>
      <c r="E22" s="8"/>
      <c r="F22" s="8"/>
      <c r="G22" s="6"/>
      <c r="H22" s="6"/>
      <c r="I22" s="648"/>
      <c r="L22" s="3"/>
      <c r="Q22" s="5">
        <v>2</v>
      </c>
      <c r="R22" s="5">
        <f>T8</f>
        <v>-101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2" ht="12.75" customHeight="1">
      <c r="A23" s="7"/>
      <c r="B23" s="8"/>
      <c r="C23" s="8"/>
      <c r="D23" s="8"/>
      <c r="E23" s="8"/>
      <c r="F23" s="8"/>
      <c r="G23" s="6"/>
      <c r="H23" s="6"/>
      <c r="Q23" s="5">
        <v>3</v>
      </c>
      <c r="R23" s="5">
        <f>U8</f>
        <v>-129</v>
      </c>
      <c r="S23" s="5" t="str">
        <f>IF(R23&gt;=D4,IF(R22&gt;=D4,"",1),"")</f>
        <v/>
      </c>
      <c r="V23" s="168" t="str">
        <f>IF(S23=1,1,"")</f>
        <v/>
      </c>
    </row>
    <row r="24" spans="1:22" ht="12.75" customHeight="1">
      <c r="A24" s="7"/>
      <c r="B24" s="8"/>
      <c r="C24" s="8"/>
      <c r="D24" s="8"/>
      <c r="E24" s="8"/>
      <c r="F24" s="8"/>
      <c r="G24" s="6"/>
      <c r="H24" s="6"/>
      <c r="L24" s="5" t="str">
        <f>CONCATENATE(N24,"-",$P$7)</f>
        <v xml:space="preserve">1700-strieborná 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-174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2" ht="12.75" customHeight="1">
      <c r="A25" s="7"/>
      <c r="B25" s="8"/>
      <c r="D25" s="8"/>
      <c r="E25" s="8"/>
      <c r="F25" s="8"/>
      <c r="G25" s="131" t="str">
        <f>+System10!G25</f>
        <v>partnerská zľava:</v>
      </c>
      <c r="H25" s="6"/>
      <c r="L25" s="5" t="str">
        <f>CONCATENATE(N25,"-",$P$7)</f>
        <v xml:space="preserve">2350-strieborná </v>
      </c>
      <c r="M25" s="6">
        <f>SUM(U21:U32)</f>
        <v>0</v>
      </c>
      <c r="N25" s="5">
        <v>2350</v>
      </c>
      <c r="Q25" s="5" t="s">
        <v>689</v>
      </c>
      <c r="R25" s="5">
        <f>T8+T8</f>
        <v>-202</v>
      </c>
      <c r="S25" s="5" t="str">
        <f>IF(R25&gt;=D4,IF(SUM(S21:S24)&gt;0,"",1),"")</f>
        <v/>
      </c>
      <c r="U25" s="168" t="str">
        <f>IF(S25=1,2,"")</f>
        <v/>
      </c>
    </row>
    <row r="26" spans="1:22" ht="12.75" customHeight="1">
      <c r="A26" s="14" t="str">
        <f>+System10!A26</f>
        <v>Objednávacie kódy, ceny:</v>
      </c>
      <c r="B26" s="8"/>
      <c r="D26" s="8"/>
      <c r="E26" s="8"/>
      <c r="F26" s="8"/>
      <c r="G26" s="143">
        <f>profil!C15</f>
        <v>0</v>
      </c>
      <c r="H26" s="28"/>
      <c r="L26" s="5" t="str">
        <f>CONCATENATE(N26,"-",$P$7)</f>
        <v xml:space="preserve">3000-strieborná 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-202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2" ht="12.75" customHeight="1">
      <c r="A27" s="7"/>
      <c r="B27" s="19" t="str">
        <f>+'Romeo II'!B27</f>
        <v>kód</v>
      </c>
      <c r="C27" s="18" t="str">
        <f>+'Romeo II'!C27</f>
        <v>názov</v>
      </c>
      <c r="D27" s="19" t="str">
        <f>+'Romeo II'!D27</f>
        <v>ks</v>
      </c>
      <c r="E27" s="19" t="str">
        <f>+'Romeo II'!E27</f>
        <v>cena/ks</v>
      </c>
      <c r="F27" s="19" t="str">
        <f>+'Romeo II'!F27</f>
        <v>cena celkom</v>
      </c>
      <c r="G27" s="20" t="str">
        <f>+'Romeo II'!G27</f>
        <v>celkom netto:</v>
      </c>
      <c r="H27" s="6"/>
      <c r="I27" s="18" t="str">
        <f>texty!A29</f>
        <v>Poznámka:</v>
      </c>
      <c r="K27" s="18"/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-230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2" ht="12.75" customHeight="1">
      <c r="A28" s="7" t="str">
        <f>+System10!A28</f>
        <v>Horný profil:</v>
      </c>
      <c r="B28" s="16">
        <f>+VLOOKUP(L5,data!$C$176:$D$210,2,0)</f>
        <v>89106</v>
      </c>
      <c r="C28" s="25" t="str">
        <f>+VLOOKUP(B28,cennik!$A$3:$G$701,2,FALSE)</f>
        <v>SEVROLL Gemini horné vedenie 1,7m strieborná</v>
      </c>
      <c r="D28" s="17">
        <f>IF(B28="N/A",0,1)</f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-258</v>
      </c>
      <c r="S28" s="5" t="str">
        <f>IF(R28&gt;=D4,IF(SUM(S21:S27)&gt;0,"",1),"")</f>
        <v/>
      </c>
      <c r="V28" s="168" t="str">
        <f>IF(S28=1,2,"")</f>
        <v/>
      </c>
    </row>
    <row r="29" spans="1:22" ht="12.75" customHeight="1">
      <c r="A29" s="7" t="str">
        <f>+System10!A29</f>
        <v>spodný profil:</v>
      </c>
      <c r="B29" s="16">
        <f>+VLOOKUP(N5,data!$C$4:$D$73,2,0)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+VLOOKUP(B29,cennik!$A:$G,3,FALSE)</f>
        <v>9.0389999999999997</v>
      </c>
      <c r="F29" s="92">
        <f>+E29*D29</f>
        <v>9.0389999999999997</v>
      </c>
      <c r="G29" s="93">
        <f t="shared" si="1"/>
        <v>9.0389999999999997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 xml:space="preserve">3000-strieborná 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-219</v>
      </c>
      <c r="S29" s="5" t="str">
        <f>IF(R29&gt;=D4,IF(SUM(S21:S28)&gt;0,"",1),"")</f>
        <v/>
      </c>
      <c r="T29" s="168" t="str">
        <f>IF(S29=1,3,"")</f>
        <v/>
      </c>
    </row>
    <row r="30" spans="1:22" ht="12.75" customHeight="1">
      <c r="A30" s="7" t="str">
        <f>+System10!A30</f>
        <v>krycí profil (maska):</v>
      </c>
      <c r="B30" s="16">
        <f>+VLOOKUP(N5,data!$C$90:$D$175,2,0)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>+E30*D30</f>
        <v>2.8683800000000002</v>
      </c>
      <c r="G30" s="93">
        <f t="shared" si="1"/>
        <v>2.8683800000000002</v>
      </c>
      <c r="H30" s="24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-275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2" ht="12.75" customHeight="1">
      <c r="A31" s="7" t="str">
        <f>+System10!A31</f>
        <v>horné vozíky (sady)</v>
      </c>
      <c r="B31" s="16">
        <v>228009</v>
      </c>
      <c r="C31" s="25" t="str">
        <f>+VLOOKUP(B31,cennik!$A:$G,2,FALSE)</f>
        <v>SEVROLL horný vozík Gemini symetr.10mm-2ks</v>
      </c>
      <c r="D31" s="17">
        <f>IF((D49+D50)&gt;D4,0,D4-(D49+D50))</f>
        <v>3</v>
      </c>
      <c r="E31" s="92">
        <f>+VLOOKUP(B31,cennik!$A:$G,3,FALSE)</f>
        <v>5.3269799999999998</v>
      </c>
      <c r="F31" s="92">
        <f t="shared" ref="F31:F39" si="2">+E31*D31</f>
        <v>15.98094</v>
      </c>
      <c r="G31" s="93">
        <f t="shared" si="1"/>
        <v>15.98094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-303</v>
      </c>
      <c r="S31" s="5" t="str">
        <f>IF(R31&gt;=D4,IF(SUM(S21:S30)&gt;0,"",1),"")</f>
        <v/>
      </c>
      <c r="U31" s="168" t="str">
        <f>IF(S31=1,3,"")</f>
        <v/>
      </c>
    </row>
    <row r="32" spans="1:22" ht="12.75" customHeight="1">
      <c r="A32" s="7" t="str">
        <f>+System10!A32</f>
        <v>spodné vozíky (sada)</v>
      </c>
      <c r="B32" s="16">
        <f>IF(F4=M66,328321,229441)</f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2"/>
        <v>18.58419</v>
      </c>
      <c r="G32" s="93">
        <f t="shared" si="1"/>
        <v>18.58419</v>
      </c>
      <c r="H32" s="6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-331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2" ht="12.75" customHeight="1">
      <c r="A33" s="7" t="str">
        <f>+System10!A33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6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  <c r="L33" s="6"/>
    </row>
    <row r="34" spans="1:12" ht="12.75" customHeight="1">
      <c r="A34" s="7" t="str">
        <f>+System10!A34</f>
        <v>úchytková lišta</v>
      </c>
      <c r="B34" s="16">
        <f>+VLOOKUP(P7,data!$C$424:$D$425,2,0)</f>
        <v>135344</v>
      </c>
      <c r="C34" s="25" t="str">
        <f>+VLOOKUP(B34,cennik!$A:$G,2,FALSE)</f>
        <v>SEVROLL Julia II úch.lišta 2,7m strieborná</v>
      </c>
      <c r="D34" s="17">
        <f>IF(B12&lt;=1347,D4*2/2,D4*2)</f>
        <v>3</v>
      </c>
      <c r="E34" s="92">
        <f>+VLOOKUP(B34,cennik!$A:$G,3,FALSE)</f>
        <v>18.825220000000002</v>
      </c>
      <c r="F34" s="92">
        <f t="shared" si="2"/>
        <v>56.475660000000005</v>
      </c>
      <c r="G34" s="93">
        <f t="shared" si="1"/>
        <v>56.475660000000005</v>
      </c>
      <c r="H34" s="6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7" t="str">
        <f>+System10!A35</f>
        <v>spojovacia skrutka</v>
      </c>
      <c r="B35" s="6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 t="shared" si="2"/>
        <v>1.7354400000000001</v>
      </c>
      <c r="G35" s="93">
        <f t="shared" si="1"/>
        <v>1.7354400000000001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3"/>
    </row>
    <row r="36" spans="1:12" ht="12.75" customHeight="1">
      <c r="A36" s="7" t="str">
        <f>+System10!A36</f>
        <v>horný profil rámu (vodiaca lišta)</v>
      </c>
      <c r="B36" s="16">
        <f>+VLOOKUP(O8,data!C262:D276,2,0)</f>
        <v>89230</v>
      </c>
      <c r="C36" s="25" t="str">
        <f>+VLOOKUP(B36,cennik!$A:$G,2,FALSE)</f>
        <v>SEVROLL-206 VOD.LIŠTA HOR.1,7M STRIEBOR.</v>
      </c>
      <c r="D36" s="65">
        <f>N29</f>
        <v>0</v>
      </c>
      <c r="E36" s="92">
        <f>+VLOOKUP(B36,cennik!$A:$G,3,FALSE)</f>
        <v>9.6185399999999994</v>
      </c>
      <c r="F36" s="92">
        <f t="shared" si="2"/>
        <v>0</v>
      </c>
      <c r="G36" s="93">
        <f t="shared" si="1"/>
        <v>0</v>
      </c>
      <c r="H36" s="6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3" t="s">
        <v>15</v>
      </c>
    </row>
    <row r="37" spans="1:12" ht="12.75" customHeight="1">
      <c r="A37" s="7" t="str">
        <f>+System10!A37</f>
        <v>horný profil rámu (vodiaca lišta)</v>
      </c>
      <c r="B37" s="16" t="str">
        <f>IF(M30&lt;&gt;"jiné",+VLOOKUP(M30,data!C262:D287,2,0),"")</f>
        <v/>
      </c>
      <c r="C37" s="38" t="str">
        <f>IF(M30&lt;&gt;"jiné",+VLOOKUP(B37,cennik!$A$3:$G$701,2,FALSE),texty!$A$2)</f>
        <v>druhá lišta nieje potrebná</v>
      </c>
      <c r="D37" s="65">
        <f>N30</f>
        <v>0</v>
      </c>
      <c r="E37" s="94">
        <f>IF(M30&lt;&gt;"jiné",+VLOOKUP(B37,cennik!$A:$G,3,FALSE),0)</f>
        <v>0</v>
      </c>
      <c r="F37" s="92">
        <f t="shared" si="2"/>
        <v>0</v>
      </c>
      <c r="G37" s="93">
        <f t="shared" si="1"/>
        <v>0</v>
      </c>
      <c r="H37" s="6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 t="s">
        <v>15</v>
      </c>
    </row>
    <row r="38" spans="1:12" ht="12.75" customHeight="1">
      <c r="A38" s="7" t="str">
        <f>+System10!A38</f>
        <v>horizontálny spodný profil rámu</v>
      </c>
      <c r="B38" s="6">
        <f>+VLOOKUP(O8,data!$C$315:$D$326,2,0)</f>
        <v>89228</v>
      </c>
      <c r="C38" s="25" t="str">
        <f>+VLOOKUP(B38,cennik!$A:$G,2,FALSE)</f>
        <v>SEVROLL spodná krycia lišta 1,7m strieborná</v>
      </c>
      <c r="D38" s="65">
        <f>N29</f>
        <v>0</v>
      </c>
      <c r="E38" s="92">
        <f>+VLOOKUP(B38,cennik!$A:$G,3,FALSE)</f>
        <v>15.860429999999999</v>
      </c>
      <c r="F38" s="92">
        <f t="shared" si="2"/>
        <v>0</v>
      </c>
      <c r="G38" s="93">
        <f t="shared" si="1"/>
        <v>0</v>
      </c>
      <c r="H38" s="6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 t="s">
        <v>15</v>
      </c>
    </row>
    <row r="39" spans="1:12" ht="12.75" customHeight="1">
      <c r="A39" s="7" t="str">
        <f>+System10!A39</f>
        <v>horizontálny spodný profil rámu</v>
      </c>
      <c r="B39" s="16" t="str">
        <f>IF(M30&lt;&gt;"jiné",+VLOOKUP(M30,data!$C$315:$D$337,2,0),"")</f>
        <v/>
      </c>
      <c r="C39" s="25" t="str">
        <f>IF(M30&lt;&gt;"jiné",+VLOOKUP(B39,cennik!$A$3:$G$701,2,FALSE),texty!A2)</f>
        <v>druhá lišta nieje potrebná</v>
      </c>
      <c r="D39" s="65">
        <f>N30</f>
        <v>0</v>
      </c>
      <c r="E39" s="94">
        <f>IF(M30&lt;&gt;"jiné",+VLOOKUP(B39,cennik!$A:$G,3,FALSE),0)</f>
        <v>0</v>
      </c>
      <c r="F39" s="92">
        <f t="shared" si="2"/>
        <v>0</v>
      </c>
      <c r="G39" s="93">
        <f t="shared" si="1"/>
        <v>0</v>
      </c>
      <c r="H39" s="6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 t="s">
        <v>15</v>
      </c>
    </row>
    <row r="40" spans="1:12" ht="12.75" customHeight="1">
      <c r="E40" s="95"/>
      <c r="F40" s="95"/>
      <c r="G40" s="95"/>
      <c r="H40" s="6"/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 t="s">
        <v>16</v>
      </c>
    </row>
    <row r="41" spans="1:12" ht="12.75" customHeight="1">
      <c r="A41" s="14" t="str">
        <f>texty!$A$66</f>
        <v>Voliteľné príslušenstvo:</v>
      </c>
      <c r="B41" s="15"/>
      <c r="D41" s="26" t="str">
        <f>System10!$D$41</f>
        <v>zadajte počet:</v>
      </c>
      <c r="E41" s="96"/>
      <c r="F41" s="96"/>
      <c r="G41" s="95"/>
      <c r="H41" s="6"/>
      <c r="I41" s="483" t="str">
        <f>IFERROR(IF((VLOOKUP(B41,cennik!A:L,12,0))="O",texty!$A$250,""),"")</f>
        <v/>
      </c>
      <c r="K41" s="196"/>
      <c r="L41" s="3" t="s">
        <v>16</v>
      </c>
    </row>
    <row r="42" spans="1:12" ht="12.75" customHeight="1">
      <c r="A42" s="7" t="str">
        <f>texty!$A$88</f>
        <v>pozicionér do horného vedenia</v>
      </c>
      <c r="B42" s="15">
        <v>298035</v>
      </c>
      <c r="C42" s="25" t="str">
        <f>+VLOOKUP(B42,cennik!$A:$G,2,FALSE)</f>
        <v>SEVROLL Fix pozicionér pre horný vozík tran.</v>
      </c>
      <c r="D42" s="29"/>
      <c r="E42" s="92">
        <f>+VLOOKUP(B42,cennik!$A:$G,3,FALSE)</f>
        <v>1.0605800000000001</v>
      </c>
      <c r="F42" s="97">
        <f t="shared" ref="F42:F52" si="3">+CEILING(D42,1)*E42</f>
        <v>0</v>
      </c>
      <c r="G42" s="93">
        <f t="shared" ref="G42:G54" si="4">+F42*(100-$G$26)/100</f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/>
      <c r="L42" s="3"/>
    </row>
    <row r="43" spans="1:12" ht="12.75" customHeight="1">
      <c r="A43" s="7" t="str">
        <f>+System10!A43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29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6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29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29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6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29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6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29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  <c r="L47" s="6"/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29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  <c r="L48" s="6"/>
    </row>
    <row r="49" spans="1:12" ht="12.75" customHeight="1">
      <c r="A49" s="7" t="str">
        <f>System10!A48</f>
        <v> Tlmič pre stredné krídlo do 40 kg</v>
      </c>
      <c r="B49" s="24">
        <v>227185</v>
      </c>
      <c r="C49" s="25" t="str">
        <f>+VLOOKUP(B49,cennik!$A:$G,2,FALSE)</f>
        <v>K-SEVROLL tlmič dorazu 10/18mm 14-25kg(L+P)</v>
      </c>
      <c r="D49" s="29"/>
      <c r="E49" s="92">
        <f>+VLOOKUP(B49,cennik!$A:$G,3,FALSE)</f>
        <v>0</v>
      </c>
      <c r="F49" s="97">
        <f t="shared" si="3"/>
        <v>0</v>
      </c>
      <c r="G49" s="93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</row>
    <row r="50" spans="1:12" ht="12.75" customHeight="1">
      <c r="A50" s="7" t="str">
        <f>texty!$A$98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29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</row>
    <row r="51" spans="1:12" ht="12.75" customHeight="1">
      <c r="A51" s="7" t="str">
        <f>texty!$A$100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29"/>
      <c r="E51" s="92">
        <f>+VLOOKUP(B51,cennik!$A:$G,3,FALSE)</f>
        <v>17.52046</v>
      </c>
      <c r="F51" s="97">
        <f t="shared" si="3"/>
        <v>0</v>
      </c>
      <c r="G51" s="93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</row>
    <row r="52" spans="1:12" ht="12.75" customHeight="1">
      <c r="A52" s="7" t="str">
        <f>texty!$A$101</f>
        <v>spojovací profil H30-3metre</v>
      </c>
      <c r="B52" s="17">
        <f>+VLOOKUP(P7,data!C399:D401,2,0)</f>
        <v>89069</v>
      </c>
      <c r="C52" s="25" t="str">
        <f>+VLOOKUP(B52,cennik!$A:$G,2,FALSE)</f>
        <v>SEVROLL-253S-SPOJ.LIŠTA H-30mm STR 3m</v>
      </c>
      <c r="D52" s="29"/>
      <c r="E52" s="92">
        <f>+VLOOKUP(B52,cennik!$A:$G,3,FALSE)</f>
        <v>26.594049999999999</v>
      </c>
      <c r="F52" s="97">
        <f t="shared" si="3"/>
        <v>0</v>
      </c>
      <c r="G52" s="93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2" ht="12.75" customHeight="1">
      <c r="A53" s="436" t="str">
        <f>texty!A240</f>
        <v>zámok posuvných dverí</v>
      </c>
      <c r="B53" s="17">
        <v>216363</v>
      </c>
      <c r="C53" s="25" t="str">
        <f>+VLOOKUP(B53,cennik!$A:$G,2,FALSE)</f>
        <v>SEVROLL zámok na posuvné dvere 18 mm</v>
      </c>
      <c r="D53" s="30"/>
      <c r="E53" s="92">
        <f>+VLOOKUP(B53,cennik!$A:$G,3,FALSE)</f>
        <v>17.186150000000001</v>
      </c>
      <c r="F53" s="92">
        <f>+E53*D53</f>
        <v>0</v>
      </c>
      <c r="G53" s="93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  <c r="L53" s="6"/>
    </row>
    <row r="54" spans="1:12" ht="12.75" customHeight="1">
      <c r="A54" s="7" t="str">
        <f>texty!$A$92</f>
        <v>spojovacia skrutka</v>
      </c>
      <c r="B54" s="16">
        <v>89244</v>
      </c>
      <c r="C54" s="25" t="str">
        <f>+VLOOKUP(B54,cennik!$A:$G,2,FALSE)</f>
        <v>SEVROLL šroubovrut 6,3*32 -Sevroll a Simple</v>
      </c>
      <c r="D54" s="30"/>
      <c r="E54" s="92">
        <f>+VLOOKUP(B54,cennik!$A:$G,3,FALSE)</f>
        <v>0.14462</v>
      </c>
      <c r="F54" s="92">
        <f>+E54*D54</f>
        <v>0</v>
      </c>
      <c r="G54" s="93">
        <f t="shared" si="4"/>
        <v>0</v>
      </c>
      <c r="H54" s="6" t="str">
        <f>cennik!$B$2</f>
        <v>EUR</v>
      </c>
      <c r="I54" s="483" t="str">
        <f>IFERROR(IF((VLOOKUP(B54,cennik!A:L,12,0))="O",texty!$A$250,""),"")</f>
        <v/>
      </c>
      <c r="K54" s="196" t="str">
        <f>IF(D54&gt;0,IF(VLOOKUP(#REF!,cennik!A:L,12,FALSE)="O",1,""),"")</f>
        <v/>
      </c>
      <c r="L54" s="6"/>
    </row>
    <row r="55" spans="1:12" ht="12.75" customHeight="1">
      <c r="D55" s="92"/>
      <c r="E55" s="92"/>
      <c r="F55" s="92"/>
      <c r="G55" s="93"/>
      <c r="H55" s="6"/>
      <c r="I55" s="483" t="str">
        <f>IFERROR(IF((VLOOKUP(B55,cennik!A:L,12,0))="O",texty!$A$250,""),"")</f>
        <v/>
      </c>
      <c r="K55" s="196" t="str">
        <f>IF(D55&gt;0,IF(VLOOKUP(B54,cennik!A:L,12,FALSE)="O",1,""),"")</f>
        <v/>
      </c>
      <c r="L55" s="6"/>
    </row>
    <row r="56" spans="1:12" ht="12.75" customHeight="1">
      <c r="A56" s="41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6" s="42"/>
      <c r="C56" s="43"/>
      <c r="D56" s="44"/>
      <c r="E56" s="98"/>
      <c r="F56" s="98"/>
      <c r="G56" s="98"/>
      <c r="H56" s="6"/>
      <c r="I56" s="483" t="str">
        <f>IFERROR(IF((VLOOKUP(B56,cennik!A:L,12,0))="O",texty!$A$250,""),"")</f>
        <v/>
      </c>
      <c r="J56" s="186"/>
      <c r="K56" s="196" t="str">
        <f>IF(D56&gt;0,IF(VLOOKUP(B56,cennik!A:L,12,FALSE)="O",1,""),"")</f>
        <v/>
      </c>
      <c r="L56" s="6"/>
    </row>
    <row r="57" spans="1:12" ht="12.75" customHeight="1">
      <c r="C57" s="40" t="str">
        <f>texty!$A$10</f>
        <v>Potrebná dĺžka tesnenia pri celkovom presklení (nutné objednať celé metre)</v>
      </c>
      <c r="D57" s="39">
        <f>CEILING(((B9+C9)*2/1000*D4),1)</f>
        <v>0</v>
      </c>
      <c r="E57" s="95"/>
      <c r="F57" s="95"/>
      <c r="G57" s="95"/>
      <c r="H57" s="95"/>
      <c r="I57" s="483" t="str">
        <f>IFERROR(IF((VLOOKUP(B57,cennik!A:L,12,0))="O",texty!$A$250,""),"")</f>
        <v/>
      </c>
      <c r="J57" s="186"/>
      <c r="K57" s="196"/>
      <c r="L57" s="6"/>
    </row>
    <row r="58" spans="1:12" ht="12.75" customHeight="1">
      <c r="A58" s="48" t="str">
        <f>texty!$A$12</f>
        <v>(pri kombináciach s H profilmi je nutné pripočítať potrebnú dĺžku - tesnenie musí byť po celom odvode každého skla</v>
      </c>
      <c r="B58" s="46"/>
      <c r="C58" s="47"/>
      <c r="D58" s="46"/>
      <c r="E58" s="100"/>
      <c r="F58" s="100"/>
      <c r="G58" s="100"/>
      <c r="H58" s="6"/>
      <c r="I58" s="483" t="str">
        <f>IFERROR(IF((VLOOKUP(B58,cennik!A:L,12,0))="O",texty!$A$250,""),"")</f>
        <v/>
      </c>
      <c r="J58" s="186"/>
      <c r="K58" s="196" t="str">
        <f>IF(D58&gt;0,IF(VLOOKUP(B58,cennik!A:L,12,FALSE)="O",1,""),"")</f>
        <v/>
      </c>
      <c r="L58" s="6"/>
    </row>
    <row r="59" spans="1:12" ht="12.75" customHeight="1">
      <c r="A59" s="7" t="str">
        <f>System10!A59</f>
        <v>tesnenie na sklo 4mm</v>
      </c>
      <c r="B59" s="17">
        <v>89238</v>
      </c>
      <c r="C59" s="25" t="str">
        <f>+VLOOKUP(B59,cennik!$A:$G,2,FALSE)</f>
        <v>SEVROLL tesnenie na sklo 10/4mm</v>
      </c>
      <c r="D59" s="45"/>
      <c r="E59" s="92">
        <f>+VLOOKUP(B59,cennik!$A:$G,3,FALSE)</f>
        <v>0.89917999999999998</v>
      </c>
      <c r="F59" s="97">
        <f>+CEILING(D59,1)*E59</f>
        <v>0</v>
      </c>
      <c r="G59" s="93">
        <f>+F59*(100-$G$26)/100</f>
        <v>0</v>
      </c>
      <c r="H59" s="6" t="str">
        <f>cennik!$B$2</f>
        <v>EUR</v>
      </c>
      <c r="I59" s="483" t="str">
        <f>IFERROR(IF((VLOOKUP(B59,cennik!A:L,12,0))="O",texty!$A$250,""),"")</f>
        <v/>
      </c>
      <c r="J59" s="186"/>
      <c r="K59" s="196" t="str">
        <f>IF(D59&gt;0,IF(VLOOKUP(B59,cennik!A:L,12,FALSE)="O",1,""),"")</f>
        <v/>
      </c>
      <c r="L59" s="6"/>
    </row>
    <row r="60" spans="1:12" ht="12.75" customHeight="1">
      <c r="A60" s="7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5"/>
      <c r="E60" s="92">
        <f>+VLOOKUP(B60,cennik!$A:$G,3,FALSE)</f>
        <v>0.79542999999999997</v>
      </c>
      <c r="F60" s="97">
        <f>+CEILING(D60,1)*E60</f>
        <v>0</v>
      </c>
      <c r="G60" s="93">
        <f>+F60*(100-$G$26)/100</f>
        <v>0</v>
      </c>
      <c r="H60" s="6" t="str">
        <f>cennik!$B$2</f>
        <v>EUR</v>
      </c>
      <c r="I60" s="483" t="str">
        <f>IFERROR(IF((VLOOKUP(B60,cennik!A:L,12,0))="O",texty!$A$250,""),"")</f>
        <v/>
      </c>
      <c r="J60" s="186"/>
      <c r="K60" s="196" t="str">
        <f>IF(D60&gt;0,IF(VLOOKUP(B60,cennik!A:L,12,FALSE)="O",1,""),"")</f>
        <v/>
      </c>
      <c r="L60" s="3"/>
    </row>
    <row r="61" spans="1:12" ht="12.75" customHeight="1">
      <c r="A61" s="7" t="str">
        <f>System10!A61</f>
        <v>tesnenie na sklo 6mm</v>
      </c>
      <c r="B61" s="17">
        <v>89243</v>
      </c>
      <c r="C61" s="25" t="str">
        <f>+VLOOKUP(B61,cennik!$A:$G,2,FALSE)</f>
        <v>SEVROLL tesnenie na sklo 10/6mm</v>
      </c>
      <c r="D61" s="45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86"/>
      <c r="K61" s="196" t="str">
        <f>IF(D61&gt;0,IF(VLOOKUP(B61,cennik!A:L,12,FALSE)="O",1,""),"")</f>
        <v/>
      </c>
      <c r="L61" s="6"/>
    </row>
    <row r="62" spans="1:12" ht="16">
      <c r="A62" s="285" t="str">
        <f>texty!$A$190</f>
        <v>Ďalšie príslušenstvo</v>
      </c>
      <c r="B62" s="3"/>
      <c r="E62" s="95"/>
      <c r="F62" s="95"/>
      <c r="G62" s="95"/>
      <c r="H62" s="6"/>
      <c r="I62" s="483" t="str">
        <f>IFERROR(IF((VLOOKUP(B62,cennik!A:L,12,0))="O",texty!$A$250,""),"")</f>
        <v/>
      </c>
      <c r="J62" s="186"/>
      <c r="K62" s="196" t="str">
        <f>IF(D62&gt;0,IF(VLOOKUP(B62,cennik!A:L,12,FALSE)="O",1,""),"")</f>
        <v/>
      </c>
      <c r="L62" s="6"/>
    </row>
    <row r="63" spans="1:12" ht="12.75" customHeight="1">
      <c r="A63" s="285" t="str">
        <f>texty!$A$244</f>
        <v>Technický nákres tohoto systému</v>
      </c>
      <c r="B63" s="172">
        <v>129677</v>
      </c>
      <c r="C63" s="172" t="str">
        <f>VLOOKUP(B63,cennik!A:C,2,0)</f>
        <v>SEVROLL-MONT.PRÍPRAVOK NA DTD 10mm MALÝ</v>
      </c>
      <c r="D63" s="45"/>
      <c r="E63" s="92">
        <f>+VLOOKUP(B63,cennik!$A:$G,3,FALSE)</f>
        <v>5.60419</v>
      </c>
      <c r="F63" s="97">
        <f>+CEILING(D63,1)*E63</f>
        <v>0</v>
      </c>
      <c r="G63" s="93">
        <f>F63</f>
        <v>0</v>
      </c>
      <c r="H63" s="6" t="str">
        <f>cennik!$B$2</f>
        <v>EUR</v>
      </c>
      <c r="I63" s="483" t="str">
        <f>IFERROR(IF((VLOOKUP(B63,cennik!A:L,12,0))="O",texty!$A$250,""),"")</f>
        <v/>
      </c>
      <c r="J63" s="186"/>
      <c r="K63" s="196" t="str">
        <f>IF(D63&gt;0,IF(VLOOKUP(B63,cennik!A:L,12,FALSE)="O",1,""),"")</f>
        <v/>
      </c>
      <c r="L63" s="6"/>
    </row>
    <row r="64" spans="1:12" ht="12.75" customHeight="1">
      <c r="B64" s="172">
        <v>128842</v>
      </c>
      <c r="C64" s="172" t="str">
        <f>VLOOKUP(B64,cennik!A:C,2,0)</f>
        <v>SEVROLL-VRTÁK STUPŇOVITÝ 6,5/9,5mm</v>
      </c>
      <c r="D64" s="45"/>
      <c r="E64" s="92">
        <f>+VLOOKUP(B64,cennik!$A:$G,3,FALSE)</f>
        <v>23.986910000000002</v>
      </c>
      <c r="F64" s="97">
        <f>+CEILING(D64,1)*E64</f>
        <v>0</v>
      </c>
      <c r="G64" s="93">
        <f>F64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86"/>
      <c r="K64" s="196" t="str">
        <f>IF(D64&gt;0,IF(VLOOKUP(B64,cennik!A:L,12,FALSE)="O",1,""),"")</f>
        <v/>
      </c>
      <c r="L64" s="6"/>
    </row>
    <row r="65" spans="1:14" ht="12.75" customHeight="1">
      <c r="A65" s="655" t="str">
        <f>IF(SUM(D48:D49)&gt;0,IF(C7&lt;(B4/3),texty!$A$212,""),"")</f>
        <v/>
      </c>
      <c r="B65" s="655"/>
      <c r="C65" s="655"/>
      <c r="D65" s="655"/>
      <c r="E65" s="655"/>
      <c r="F65" s="655"/>
      <c r="G65" s="655"/>
      <c r="H65" s="655"/>
      <c r="I65" s="655"/>
      <c r="J65" s="655"/>
      <c r="K65" s="135"/>
    </row>
    <row r="66" spans="1:14" ht="12.75" customHeight="1">
      <c r="B66" s="8"/>
      <c r="C66" s="8"/>
      <c r="D66" s="77" t="str">
        <f>texty!$A$15</f>
        <v>CELKOM  (bez DPH)</v>
      </c>
      <c r="E66" s="100"/>
      <c r="F66" s="102">
        <f>SUM(F28:F64)</f>
        <v>120.76098</v>
      </c>
      <c r="G66" s="102">
        <f>SUM(G28:G64)</f>
        <v>120.76098</v>
      </c>
      <c r="H66" s="6" t="str">
        <f>cennik!$B$2</f>
        <v>EUR</v>
      </c>
      <c r="J66" s="186"/>
      <c r="K66" s="186"/>
      <c r="L66" s="5" t="str">
        <f>texty!A128</f>
        <v xml:space="preserve">strieborná </v>
      </c>
      <c r="M66" s="21" t="s">
        <v>2884</v>
      </c>
    </row>
    <row r="67" spans="1:14" ht="12.75" customHeight="1">
      <c r="A67" s="76" t="str">
        <f>System10!$A$67</f>
        <v>Vaša poznámka:</v>
      </c>
      <c r="B67" s="661"/>
      <c r="C67" s="662"/>
      <c r="D67" s="662"/>
      <c r="E67" s="662"/>
      <c r="F67" s="662"/>
      <c r="G67" s="663"/>
      <c r="I67" s="5"/>
      <c r="L67" s="5" t="str">
        <f>texty!A130</f>
        <v>oliva</v>
      </c>
      <c r="M67" s="21" t="s">
        <v>45</v>
      </c>
    </row>
    <row r="68" spans="1:14" ht="12.75" customHeight="1">
      <c r="A68" s="657">
        <f>profil!$U$15</f>
        <v>0</v>
      </c>
      <c r="B68" s="658"/>
      <c r="C68" s="658"/>
      <c r="D68" s="658"/>
      <c r="E68" s="658"/>
      <c r="F68" s="658"/>
      <c r="G68" s="658"/>
      <c r="H68" s="658"/>
    </row>
    <row r="69" spans="1:14" ht="12.75" customHeight="1">
      <c r="A69" s="659" t="str">
        <f>IF(N69=1,texty!$A$215,IF(K69&gt;0,texty!$A$214,""))</f>
        <v/>
      </c>
      <c r="B69" s="659"/>
      <c r="C69" s="659"/>
      <c r="D69" s="659"/>
      <c r="E69" s="659"/>
      <c r="F69" s="659"/>
      <c r="G69" s="659"/>
      <c r="H69" s="659"/>
      <c r="K69" s="6">
        <f>SUM(K28:K64)</f>
        <v>0</v>
      </c>
      <c r="N69" s="5">
        <f>IF(ISERROR(K69),1,0)</f>
        <v>0</v>
      </c>
    </row>
    <row r="70" spans="1:14" ht="12.75" customHeight="1"/>
    <row r="71" spans="1:14" ht="12.75" customHeight="1"/>
  </sheetData>
  <sheetProtection algorithmName="SHA-512" hashValue="8g6W1BirZHC6VtiSq7eO76LfWxCzoytvDMFMnuoo/MiyC5S4xQPXWIURDpbOetkUcx9IxsSpAYTe4nKrBkGOMw==" saltValue="98xwj1MQr9sOzodjl9IJcg==" spinCount="100000" sheet="1" objects="1" scenarios="1"/>
  <mergeCells count="13">
    <mergeCell ref="A69:H69"/>
    <mergeCell ref="U6:U7"/>
    <mergeCell ref="A68:H68"/>
    <mergeCell ref="R6:R7"/>
    <mergeCell ref="S6:S7"/>
    <mergeCell ref="T6:T7"/>
    <mergeCell ref="A65:J65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D6">
    <cfRule type="expression" dxfId="201" priority="7">
      <formula>$D$4=4</formula>
    </cfRule>
    <cfRule type="expression" dxfId="200" priority="8">
      <formula>$D$4&lt;&gt;4</formula>
    </cfRule>
  </conditionalFormatting>
  <conditionalFormatting sqref="G4">
    <cfRule type="expression" dxfId="199" priority="6">
      <formula>$D$4=4</formula>
    </cfRule>
  </conditionalFormatting>
  <conditionalFormatting sqref="I19:I20">
    <cfRule type="expression" dxfId="198" priority="4">
      <formula>$F$4=$M$67</formula>
    </cfRule>
  </conditionalFormatting>
  <conditionalFormatting sqref="I21:I22">
    <cfRule type="expression" dxfId="197" priority="5">
      <formula>$F$4=$M$66</formula>
    </cfRule>
  </conditionalFormatting>
  <conditionalFormatting sqref="A14">
    <cfRule type="expression" dxfId="196" priority="3">
      <formula>SUM($D$47:$D$48)&gt;0</formula>
    </cfRule>
  </conditionalFormatting>
  <dataValidations count="7">
    <dataValidation type="list" allowBlank="1" showInputMessage="1" showErrorMessage="1" sqref="E6: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imální výška je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CF56632-2656-4422-B225-A5EE77D73733}">
            <xm:f>$I28=texty!$A$250</xm:f>
            <x14:dxf>
              <font>
                <color rgb="FFFF0000"/>
              </font>
            </x14:dxf>
          </x14:cfRule>
          <xm:sqref>I28:I64</xm:sqref>
        </x14:conditionalFormatting>
        <x14:conditionalFormatting xmlns:xm="http://schemas.microsoft.com/office/excel/2006/main">
          <x14:cfRule type="expression" priority="1" id="{45B04C4F-EF87-479E-BF37-7CE4789A0B77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IW71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8.1640625" style="5" customWidth="1"/>
    <col min="2" max="2" width="15.83203125" style="5" customWidth="1"/>
    <col min="3" max="3" width="37.5" style="5" customWidth="1"/>
    <col min="4" max="4" width="14" style="5" customWidth="1"/>
    <col min="5" max="7" width="14.6640625" style="5" customWidth="1"/>
    <col min="8" max="8" width="4.832031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257" width="0" style="5" hidden="1" customWidth="1"/>
    <col min="258" max="16384" width="9.1640625" style="5" hidden="1"/>
  </cols>
  <sheetData>
    <row r="1" spans="1:22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-6.25</v>
      </c>
    </row>
    <row r="2" spans="1:22" ht="18.75" customHeight="1">
      <c r="A2" s="538" t="s">
        <v>1475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2" ht="29" thickBot="1">
      <c r="A3" s="539" t="str">
        <f>CONCATENATE(texty!A243," ",5,".",49)</f>
        <v>katalóg kovania 2018 str. 5.49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22" ht="18" customHeight="1">
      <c r="A4" s="10" t="str">
        <f>+System10!$A$4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64"/>
      <c r="H4" s="664"/>
      <c r="I4" s="664"/>
      <c r="J4" s="664"/>
      <c r="K4" s="195"/>
      <c r="L4" s="17">
        <f>IF(C4&lt;1701,1700,IF(C4&lt;2351,2350,IF(C4&lt;3001,3000,IF(C4&lt;4051,4050,6000))))</f>
        <v>1700</v>
      </c>
      <c r="M4" s="21"/>
      <c r="N4" s="17">
        <f>IF(C4&lt;1701,1700,IF(C4&lt;2351,2350,IF(C4&lt;3001,3000,IF(C4&lt;4051,4050,6000))))</f>
        <v>1700</v>
      </c>
    </row>
    <row r="5" spans="1:22" ht="18" customHeight="1">
      <c r="A5" s="10"/>
      <c r="B5" s="660" t="str">
        <f>+System10!B5</f>
        <v>vypíšte týchto 5 políčok !!! Údaje v mm</v>
      </c>
      <c r="C5" s="660"/>
      <c r="D5" s="660"/>
      <c r="E5" s="660"/>
      <c r="F5" s="660"/>
      <c r="G5" s="664"/>
      <c r="H5" s="664"/>
      <c r="I5" s="664"/>
      <c r="J5" s="664"/>
      <c r="K5" s="195"/>
      <c r="L5" s="23" t="str">
        <f>CONCATENATE(L4,"-",E4)</f>
        <v xml:space="preserve">1700-strieborná </v>
      </c>
      <c r="M5" s="21"/>
      <c r="N5" s="23" t="str">
        <f>CONCATENATE(N4,"-",E4,", ",F4)</f>
        <v>1700-strieborná , Elegant II</v>
      </c>
    </row>
    <row r="6" spans="1:22" ht="18" customHeight="1">
      <c r="A6" s="10"/>
      <c r="B6" s="11" t="str">
        <f>IF(D4=4,texty!A227,"")</f>
        <v/>
      </c>
      <c r="D6" s="299">
        <v>3</v>
      </c>
      <c r="E6" s="8"/>
      <c r="F6" s="8"/>
      <c r="G6" s="664"/>
      <c r="H6" s="664"/>
      <c r="I6" s="664"/>
      <c r="J6" s="664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10" t="str">
        <f>+System10!A7</f>
        <v>krídlo dverí:</v>
      </c>
      <c r="B7" s="57">
        <f>+B4-40</f>
        <v>-40</v>
      </c>
      <c r="C7" s="59">
        <f>+((C4-3+(22*(D4-1)))/D4+IF(AND(D4=4,D6=2),M1,0))</f>
        <v>13.666666666666666</v>
      </c>
      <c r="D7" s="8"/>
      <c r="E7" s="8"/>
      <c r="F7" s="8"/>
      <c r="G7" s="50" t="str">
        <f>texty!$A$39</f>
        <v>V prípade použitia skla ako výplne</v>
      </c>
      <c r="H7" s="6"/>
      <c r="L7" s="6"/>
      <c r="O7" s="17">
        <f>IF(L11="jiné",M12,L11)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2" ht="12.75" customHeight="1">
      <c r="A8" s="10" t="str">
        <f>+System10!A8</f>
        <v>rozmer výplne 10 mm:</v>
      </c>
      <c r="B8" s="57">
        <f>+B7-64</f>
        <v>-104</v>
      </c>
      <c r="C8" s="59">
        <f>+C7-25</f>
        <v>-11.333333333333334</v>
      </c>
      <c r="D8" s="8"/>
      <c r="E8" s="8"/>
      <c r="F8" s="8"/>
      <c r="G8" s="50" t="str">
        <f>texty!$A$40</f>
        <v>je treba použiť bezpečnostné sklo</v>
      </c>
      <c r="H8" s="6"/>
      <c r="L8" s="6" t="s">
        <v>73</v>
      </c>
      <c r="M8" s="5" t="s">
        <v>74</v>
      </c>
      <c r="O8" s="23" t="str">
        <f>CONCATENATE(O7,"-",E4)</f>
        <v xml:space="preserve">1700-strieborná </v>
      </c>
      <c r="P8" s="21"/>
      <c r="Q8" s="5">
        <v>1</v>
      </c>
      <c r="R8" s="164">
        <f>$C$10+5</f>
        <v>-23.333333333333336</v>
      </c>
      <c r="S8" s="5">
        <f>FLOOR(1700/R8,1)</f>
        <v>-73</v>
      </c>
      <c r="T8" s="5">
        <f>FLOOR(2350/R8,1)</f>
        <v>-101</v>
      </c>
      <c r="U8" s="5">
        <f>FLOOR(3000/R8,1)</f>
        <v>-129</v>
      </c>
    </row>
    <row r="9" spans="1:22" ht="12.75" customHeight="1">
      <c r="A9" s="10" t="str">
        <f>+System10!A9</f>
        <v>rozmer zrkadla / skla</v>
      </c>
      <c r="B9" s="57">
        <f>+B8</f>
        <v>-104</v>
      </c>
      <c r="C9" s="59">
        <f>+C8-4</f>
        <v>-15.333333333333334</v>
      </c>
      <c r="D9" s="8"/>
      <c r="E9" s="8"/>
      <c r="F9" s="8"/>
      <c r="G9" s="50" t="str">
        <f>texty!$A$41</f>
        <v>alebo sklo zabezpečiť ochrannou fóliou</v>
      </c>
      <c r="H9" s="6"/>
      <c r="L9" s="37">
        <f>C10*D4</f>
        <v>-85</v>
      </c>
      <c r="M9" s="36">
        <f>(D4+1)*5</f>
        <v>20</v>
      </c>
      <c r="Q9" s="5">
        <v>2</v>
      </c>
      <c r="R9" s="164">
        <f t="shared" ref="R9:R14" si="0">R8+$C$10+5</f>
        <v>-46.666666666666671</v>
      </c>
      <c r="S9" s="5">
        <f>(1700-C10)*S17</f>
        <v>-1728.3333333333333</v>
      </c>
      <c r="T9" s="5">
        <f>(2350-C10)*T17</f>
        <v>-2378.3333333333335</v>
      </c>
      <c r="U9" s="5">
        <f>(3000-C10)*U17</f>
        <v>-3028.3333333333335</v>
      </c>
      <c r="V9" s="5" t="s">
        <v>651</v>
      </c>
    </row>
    <row r="10" spans="1:22" ht="12.75" customHeight="1">
      <c r="A10" s="10" t="str">
        <f>+System10!A10</f>
        <v>dĺžka vodiacej a krycej lišty krídla</v>
      </c>
      <c r="B10" s="57"/>
      <c r="C10" s="60">
        <f>+C7-42</f>
        <v>-28.333333333333336</v>
      </c>
      <c r="D10" s="8"/>
      <c r="E10" s="8"/>
      <c r="F10" s="8"/>
      <c r="G10" s="49"/>
      <c r="H10" s="6"/>
      <c r="L10" s="5" t="s">
        <v>72</v>
      </c>
      <c r="O10" s="17" t="str">
        <f>IF(L11="jiné",M13,"")</f>
        <v/>
      </c>
      <c r="P10" s="21" t="str">
        <f>+E4</f>
        <v xml:space="preserve">strieborná </v>
      </c>
      <c r="Q10" s="5">
        <v>3</v>
      </c>
      <c r="R10" s="164">
        <f t="shared" si="0"/>
        <v>-70</v>
      </c>
    </row>
    <row r="11" spans="1:22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F11" s="8"/>
      <c r="G11" s="3" t="str">
        <f>texty!$A$43</f>
        <v>Maximálna hmotnosť krídla je 50 kg</v>
      </c>
      <c r="H11" s="6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 xml:space="preserve">-strieborná </v>
      </c>
      <c r="P11" s="21"/>
      <c r="Q11" s="5">
        <v>4</v>
      </c>
      <c r="R11" s="164">
        <f t="shared" si="0"/>
        <v>-93.333333333333343</v>
      </c>
    </row>
    <row r="12" spans="1:22" ht="12.75" customHeight="1">
      <c r="A12" s="10" t="str">
        <f>+System10!A12</f>
        <v>úchytková lišta</v>
      </c>
      <c r="B12" s="502">
        <f>+B7</f>
        <v>-40</v>
      </c>
      <c r="C12" s="503"/>
      <c r="D12" s="8"/>
      <c r="E12" s="8"/>
      <c r="F12" s="8"/>
      <c r="G12" s="6"/>
      <c r="H12" s="6"/>
      <c r="L12" s="6">
        <f>C10*(D4-1)+(D4*5)</f>
        <v>-41.666666666666671</v>
      </c>
      <c r="M12" s="5">
        <f>IF(L12&lt;1700,1700,IF(L12&lt;2350,2350,IF(L12&lt;3000,3000,3000)))</f>
        <v>1700</v>
      </c>
      <c r="N12" s="5">
        <f>M12-L12</f>
        <v>1741.6666666666667</v>
      </c>
      <c r="Q12" s="5">
        <v>5</v>
      </c>
      <c r="R12" s="164">
        <f t="shared" si="0"/>
        <v>-116.66666666666669</v>
      </c>
    </row>
    <row r="13" spans="1:22" ht="12.75" customHeight="1">
      <c r="A13" s="147" t="str">
        <f>System10!A13</f>
        <v>Dĺžka tesnenia na sklo na jednom krídle</v>
      </c>
      <c r="B13" s="58"/>
      <c r="C13" s="145">
        <f>ROUND(B9*2+C9*2,0)</f>
        <v>-239</v>
      </c>
      <c r="D13" s="8"/>
      <c r="E13" s="8"/>
      <c r="F13" s="8"/>
      <c r="G13" s="6"/>
      <c r="H13" s="6"/>
      <c r="L13" s="35">
        <f>C10+10</f>
        <v>-18.333333333333336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5">
        <f>M13-L13</f>
        <v>1718.3333333333333</v>
      </c>
      <c r="Q13" s="5">
        <v>6</v>
      </c>
      <c r="R13" s="164">
        <f t="shared" si="0"/>
        <v>-140.00000000000003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8"/>
      <c r="G14" s="6"/>
      <c r="H14" s="6"/>
      <c r="L14" s="6"/>
      <c r="M14" s="5">
        <f>SUM(M12:M13)</f>
        <v>3400</v>
      </c>
      <c r="N14" s="5">
        <f>SUM(N12:N13)</f>
        <v>3460</v>
      </c>
      <c r="Q14" s="5">
        <v>7</v>
      </c>
      <c r="R14" s="164">
        <f t="shared" si="0"/>
        <v>-163.33333333333337</v>
      </c>
    </row>
    <row r="15" spans="1:22" ht="17.25" customHeight="1">
      <c r="A15" s="644"/>
      <c r="B15" s="644"/>
      <c r="C15" s="504"/>
      <c r="D15" s="8"/>
      <c r="E15" s="8"/>
      <c r="F15" s="8"/>
      <c r="G15" s="6"/>
      <c r="H15" s="6"/>
      <c r="L15" s="6"/>
      <c r="R15" s="164"/>
    </row>
    <row r="16" spans="1:22" ht="13">
      <c r="A16" s="436"/>
      <c r="B16" s="17"/>
      <c r="C16" s="504"/>
      <c r="D16" s="8"/>
      <c r="E16" s="8"/>
      <c r="F16" s="8"/>
      <c r="G16" s="6"/>
      <c r="H16" s="6"/>
      <c r="L16" s="6"/>
      <c r="R16" s="164"/>
    </row>
    <row r="17" spans="1:22" ht="12.75" customHeight="1">
      <c r="B17" s="17"/>
      <c r="C17" s="447"/>
      <c r="D17" s="8"/>
      <c r="E17" s="8"/>
      <c r="F17" s="8"/>
      <c r="G17" s="6"/>
      <c r="H17" s="6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2" ht="12.75" customHeight="1">
      <c r="A18" s="436"/>
      <c r="B18" s="17"/>
      <c r="C18" s="447"/>
      <c r="D18" s="8"/>
      <c r="E18" s="8"/>
      <c r="F18" s="8"/>
      <c r="G18" s="6"/>
      <c r="H18" s="6"/>
      <c r="L18" s="6"/>
    </row>
    <row r="19" spans="1:22" ht="14.25" customHeight="1">
      <c r="A19" s="436"/>
      <c r="B19" s="498" t="str">
        <f>texty!A242</f>
        <v>dilatácia 4 mm</v>
      </c>
      <c r="C19" s="120"/>
      <c r="D19" s="8"/>
      <c r="E19" s="8"/>
      <c r="F19" s="8"/>
      <c r="G19" s="6"/>
      <c r="H19" s="6"/>
      <c r="I19" s="647" t="s">
        <v>2890</v>
      </c>
      <c r="L19" s="6"/>
    </row>
    <row r="20" spans="1:22" ht="16.5" customHeight="1">
      <c r="A20" s="7"/>
      <c r="B20" s="8"/>
      <c r="C20" s="8"/>
      <c r="E20" s="8"/>
      <c r="F20" s="8"/>
      <c r="G20" s="6"/>
      <c r="H20" s="6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2" ht="16.5" customHeight="1">
      <c r="A21" s="7"/>
      <c r="B21" s="8"/>
      <c r="C21" s="8"/>
      <c r="D21" s="13"/>
      <c r="E21" s="8"/>
      <c r="F21" s="8"/>
      <c r="G21" s="6"/>
      <c r="H21" s="6"/>
      <c r="I21" s="648" t="s">
        <v>2891</v>
      </c>
      <c r="L21" s="6"/>
      <c r="Q21" s="5">
        <v>1</v>
      </c>
      <c r="R21" s="5">
        <f>S8</f>
        <v>-73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2" ht="12.75" customHeight="1">
      <c r="A22" s="7"/>
      <c r="B22" s="8"/>
      <c r="C22" s="8"/>
      <c r="D22" s="8"/>
      <c r="E22" s="8"/>
      <c r="F22" s="8"/>
      <c r="G22" s="6"/>
      <c r="H22" s="6"/>
      <c r="I22" s="648"/>
      <c r="L22" s="3"/>
      <c r="Q22" s="5">
        <v>2</v>
      </c>
      <c r="R22" s="5">
        <f>T8</f>
        <v>-101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2" ht="12.75" customHeight="1">
      <c r="A23" s="7"/>
      <c r="B23" s="8"/>
      <c r="C23" s="8"/>
      <c r="D23" s="8"/>
      <c r="E23" s="8"/>
      <c r="F23" s="8"/>
      <c r="G23" s="6"/>
      <c r="H23" s="6"/>
      <c r="Q23" s="5">
        <v>3</v>
      </c>
      <c r="R23" s="5">
        <f>U8</f>
        <v>-129</v>
      </c>
      <c r="S23" s="5" t="str">
        <f>IF(R23&gt;=D4,IF(R22&gt;=D4,"",1),"")</f>
        <v/>
      </c>
      <c r="V23" s="168" t="str">
        <f>IF(S23=1,1,"")</f>
        <v/>
      </c>
    </row>
    <row r="24" spans="1:22" ht="12.75" customHeight="1">
      <c r="A24" s="7"/>
      <c r="B24" s="8"/>
      <c r="C24" s="8"/>
      <c r="D24" s="8"/>
      <c r="E24" s="8"/>
      <c r="F24" s="8"/>
      <c r="G24" s="6"/>
      <c r="H24" s="6"/>
      <c r="L24" s="5" t="str">
        <f>CONCATENATE(N24,"-",$P$7)</f>
        <v xml:space="preserve">1700-strieborná 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-174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2" ht="12.75" customHeight="1">
      <c r="A25" s="7"/>
      <c r="B25" s="8"/>
      <c r="D25" s="8"/>
      <c r="E25" s="8"/>
      <c r="F25" s="8"/>
      <c r="G25" s="131" t="str">
        <f>+System10!G25</f>
        <v>partnerská zľava:</v>
      </c>
      <c r="H25" s="6"/>
      <c r="L25" s="5" t="str">
        <f>CONCATENATE(N25,"-",$P$7)</f>
        <v xml:space="preserve">2350-strieborná </v>
      </c>
      <c r="M25" s="6">
        <f>SUM(U21:U32)</f>
        <v>0</v>
      </c>
      <c r="N25" s="5">
        <v>2350</v>
      </c>
      <c r="Q25" s="5" t="s">
        <v>689</v>
      </c>
      <c r="R25" s="5">
        <f>T8+T8</f>
        <v>-202</v>
      </c>
      <c r="S25" s="5" t="str">
        <f>IF(R25&gt;=D4,IF(SUM(S21:S24)&gt;0,"",1),"")</f>
        <v/>
      </c>
      <c r="U25" s="168" t="str">
        <f>IF(S25=1,2,"")</f>
        <v/>
      </c>
    </row>
    <row r="26" spans="1:22" ht="12.75" customHeight="1">
      <c r="A26" s="14" t="str">
        <f>+System10!A26</f>
        <v>Objednávacie kódy, ceny:</v>
      </c>
      <c r="B26" s="8"/>
      <c r="D26" s="8"/>
      <c r="E26" s="8"/>
      <c r="F26" s="8"/>
      <c r="G26" s="143">
        <f>profil!C15</f>
        <v>0</v>
      </c>
      <c r="H26" s="28" t="s">
        <v>70</v>
      </c>
      <c r="L26" s="5" t="str">
        <f>CONCATENATE(N26,"-",$P$7)</f>
        <v xml:space="preserve">3000-strieborná 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-202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2" ht="12.75" customHeight="1">
      <c r="A27" s="7"/>
      <c r="B27" s="19" t="str">
        <f>+System10!B27</f>
        <v>kód</v>
      </c>
      <c r="C27" s="18" t="str">
        <f>+System10!C27</f>
        <v>názov</v>
      </c>
      <c r="D27" s="19" t="str">
        <f>+System10!D27</f>
        <v>ks</v>
      </c>
      <c r="E27" s="19" t="str">
        <f>+System10!E27</f>
        <v>cena/ks</v>
      </c>
      <c r="F27" s="19" t="str">
        <f>+System10!F27</f>
        <v>cena celkom</v>
      </c>
      <c r="G27" s="20" t="str">
        <f>+System10!G27</f>
        <v>celkom netto:</v>
      </c>
      <c r="H27" s="6"/>
      <c r="I27" s="18" t="str">
        <f>texty!A29</f>
        <v>Poznámka:</v>
      </c>
      <c r="K27" s="18"/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-230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2" ht="12.75" customHeight="1">
      <c r="A28" s="7" t="str">
        <f>+System10!$A$28</f>
        <v>Horný profil:</v>
      </c>
      <c r="B28" s="16">
        <f>+VLOOKUP(L5,data!$C$176:$D$210,2,0)</f>
        <v>89106</v>
      </c>
      <c r="C28" s="25" t="str">
        <f>+VLOOKUP(B28,cennik!$A$3:$G$701,2,FALSE)</f>
        <v>SEVROLL Gemini horné vedenie 1,7m strieborná</v>
      </c>
      <c r="D28" s="17">
        <f>IF(B28="N/A",0,1)</f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-258</v>
      </c>
      <c r="S28" s="5" t="str">
        <f>IF(R28&gt;=D4,IF(SUM(S21:S27)&gt;0,"",1),"")</f>
        <v/>
      </c>
      <c r="V28" s="168" t="str">
        <f>IF(S28=1,2,"")</f>
        <v/>
      </c>
    </row>
    <row r="29" spans="1:22" ht="12.75" customHeight="1">
      <c r="A29" s="7" t="str">
        <f>+System10!$A$29</f>
        <v>spodný profil:</v>
      </c>
      <c r="B29" s="16">
        <f>+VLOOKUP(N5,data!$C$4:$D$73,2,0)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+VLOOKUP(B29,cennik!$A:$G,3,FALSE)</f>
        <v>9.0389999999999997</v>
      </c>
      <c r="F29" s="92">
        <f>+E29*D29</f>
        <v>9.0389999999999997</v>
      </c>
      <c r="G29" s="93">
        <f t="shared" si="1"/>
        <v>9.0389999999999997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 xml:space="preserve">3000-strieborná 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-219</v>
      </c>
      <c r="S29" s="5" t="str">
        <f>IF(R29&gt;=D4,IF(SUM(S21:S28)&gt;0,"",1),"")</f>
        <v/>
      </c>
      <c r="T29" s="168" t="str">
        <f>IF(S29=1,3,"")</f>
        <v/>
      </c>
    </row>
    <row r="30" spans="1:22" ht="12.75" customHeight="1">
      <c r="A30" s="7" t="str">
        <f>+System10!$A$30</f>
        <v>krycí profil (maska):</v>
      </c>
      <c r="B30" s="16">
        <f>+VLOOKUP(N5,data!$C$90:$D$175,2,0)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>+E30*D30</f>
        <v>2.8683800000000002</v>
      </c>
      <c r="G30" s="93">
        <f t="shared" si="1"/>
        <v>2.8683800000000002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-275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2" ht="12.75" customHeight="1">
      <c r="A31" s="7" t="str">
        <f>+System10!$A$31</f>
        <v>horné vozíky (sady)</v>
      </c>
      <c r="B31" s="16">
        <v>228009</v>
      </c>
      <c r="C31" s="25" t="str">
        <f>+VLOOKUP(B31,cennik!$A:$G,2,FALSE)</f>
        <v>SEVROLL horný vozík Gemini symetr.10mm-2ks</v>
      </c>
      <c r="D31" s="17">
        <f>IF((D49+D50)&gt;D4,0,D4-(D49+D50))</f>
        <v>3</v>
      </c>
      <c r="E31" s="92">
        <f>+VLOOKUP(B31,cennik!$A:$G,3,FALSE)</f>
        <v>5.3269799999999998</v>
      </c>
      <c r="F31" s="92">
        <f t="shared" ref="F31:F39" si="2">+E31*D31</f>
        <v>15.98094</v>
      </c>
      <c r="G31" s="93">
        <f t="shared" si="1"/>
        <v>15.98094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-303</v>
      </c>
      <c r="S31" s="5" t="str">
        <f>IF(R31&gt;=D4,IF(SUM(S21:S30)&gt;0,"",1),"")</f>
        <v/>
      </c>
      <c r="U31" s="168" t="str">
        <f>IF(S31=1,3,"")</f>
        <v/>
      </c>
    </row>
    <row r="32" spans="1:22" ht="12.75" customHeight="1">
      <c r="A32" s="7" t="str">
        <f>+System10!$A$32</f>
        <v>spodné vozíky (sada)</v>
      </c>
      <c r="B32" s="16">
        <f>IF(F4=M66,328321,229441)</f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2"/>
        <v>18.58419</v>
      </c>
      <c r="G32" s="93">
        <f t="shared" si="1"/>
        <v>18.58419</v>
      </c>
      <c r="H32" s="6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-331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2" ht="12.75" customHeight="1">
      <c r="A33" s="7" t="str">
        <f>+System10!$A$33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6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  <c r="L33" s="6"/>
    </row>
    <row r="34" spans="1:12" ht="12.75" customHeight="1">
      <c r="A34" s="7" t="str">
        <f>+System10!$A$34</f>
        <v>úchytková lišta</v>
      </c>
      <c r="B34" s="16">
        <f>+VLOOKUP(P7,data!$C$421:$D$422,2,0)</f>
        <v>135366</v>
      </c>
      <c r="C34" s="25" t="str">
        <f>+VLOOKUP(B34,cennik!$A:$G,2,FALSE)</f>
        <v>SEVROLL- ROMEO II ÚCH.LIŠTA 2,7 M STR.</v>
      </c>
      <c r="D34" s="17">
        <f>IF(B12&lt;=1347,D4*2/2,D4*2)</f>
        <v>3</v>
      </c>
      <c r="E34" s="92">
        <f>+VLOOKUP(B34,cennik!$A:$G,3,FALSE)</f>
        <v>18.825220000000002</v>
      </c>
      <c r="F34" s="92">
        <f t="shared" si="2"/>
        <v>56.475660000000005</v>
      </c>
      <c r="G34" s="93">
        <f t="shared" si="1"/>
        <v>56.475660000000005</v>
      </c>
      <c r="H34" s="6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7" t="str">
        <f>+System10!$A$35</f>
        <v>spojovacia skrutka</v>
      </c>
      <c r="B35" s="6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 t="shared" si="2"/>
        <v>1.7354400000000001</v>
      </c>
      <c r="G35" s="93">
        <f t="shared" si="1"/>
        <v>1.7354400000000001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3"/>
    </row>
    <row r="36" spans="1:12" ht="12.75" customHeight="1">
      <c r="A36" s="7" t="str">
        <f>+System10!$A$36</f>
        <v>horný profil rámu (vodiaca lišta)</v>
      </c>
      <c r="B36" s="16">
        <f>+VLOOKUP(M29,data!C262:D276,2,0)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2"/>
        <v>0</v>
      </c>
      <c r="G36" s="93">
        <f t="shared" si="1"/>
        <v>0</v>
      </c>
      <c r="H36" s="6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3" t="s">
        <v>15</v>
      </c>
    </row>
    <row r="37" spans="1:12" ht="12.75" customHeight="1">
      <c r="A37" s="7" t="str">
        <f>+System10!$A$36</f>
        <v>horný profil rámu (vodiaca lišta)</v>
      </c>
      <c r="B37" s="16" t="str">
        <f>IF(M30&lt;&gt;"jiné",+VLOOKUP(M30,data!C262:D287,2,0),"")</f>
        <v/>
      </c>
      <c r="C37" s="38" t="str">
        <f>IF(M30&lt;&gt;"jiné",+VLOOKUP(B37,cennik!$A:$G,2,FALSE),texty!$A$2)</f>
        <v>druhá lišta nieje potrebná</v>
      </c>
      <c r="D37" s="65">
        <f>N30</f>
        <v>0</v>
      </c>
      <c r="E37" s="94">
        <f>IF(M30&lt;&gt;"jiné",+VLOOKUP(B37,cennik!$A:$G,3,FALSE),0)</f>
        <v>0</v>
      </c>
      <c r="F37" s="92">
        <f t="shared" si="2"/>
        <v>0</v>
      </c>
      <c r="G37" s="93">
        <f t="shared" si="1"/>
        <v>0</v>
      </c>
      <c r="H37" s="6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 t="s">
        <v>15</v>
      </c>
    </row>
    <row r="38" spans="1:12" ht="12.75" customHeight="1">
      <c r="A38" s="7" t="str">
        <f>+System10!A38</f>
        <v>horizontálny spodný profil rámu</v>
      </c>
      <c r="B38" s="6">
        <f>+VLOOKUP(M29,data!$C$315:$D$326,2,0)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2"/>
        <v>0</v>
      </c>
      <c r="G38" s="93">
        <f t="shared" si="1"/>
        <v>0</v>
      </c>
      <c r="H38" s="6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 t="s">
        <v>15</v>
      </c>
    </row>
    <row r="39" spans="1:12" ht="12.75" customHeight="1">
      <c r="A39" s="7" t="str">
        <f>+System10!A39</f>
        <v>horizontálny spodný profil rámu</v>
      </c>
      <c r="B39" s="16" t="str">
        <f>IF(M30&lt;&gt;"jiné",+VLOOKUP(M30,data!$C$315:$D$337,2,0),"")</f>
        <v/>
      </c>
      <c r="C39" s="25" t="str">
        <f>IF(M30&lt;&gt;"jiné",+VLOOKUP(B39,cennik!$A$3:$G$701,2,FALSE),texty!A2)</f>
        <v>druhá lišta nieje potrebná</v>
      </c>
      <c r="D39" s="65">
        <f>N30</f>
        <v>0</v>
      </c>
      <c r="E39" s="94">
        <f>IF(M30&lt;&gt;"jiné",+VLOOKUP(B39,cennik!$A:$G,3,FALSE),0)</f>
        <v>0</v>
      </c>
      <c r="F39" s="92">
        <f t="shared" si="2"/>
        <v>0</v>
      </c>
      <c r="G39" s="93">
        <f t="shared" si="1"/>
        <v>0</v>
      </c>
      <c r="H39" s="6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 t="s">
        <v>15</v>
      </c>
    </row>
    <row r="40" spans="1:12" ht="12.75" customHeight="1">
      <c r="E40" s="95"/>
      <c r="F40" s="95"/>
      <c r="G40" s="95"/>
      <c r="H40" s="6"/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 t="s">
        <v>16</v>
      </c>
    </row>
    <row r="41" spans="1:12" ht="12.75" customHeight="1">
      <c r="A41" s="14" t="str">
        <f>texty!$A$66</f>
        <v>Voliteľné príslušenstvo:</v>
      </c>
      <c r="B41" s="15"/>
      <c r="D41" s="26" t="str">
        <f>System10!$D$41</f>
        <v>zadajte počet:</v>
      </c>
      <c r="E41" s="96"/>
      <c r="F41" s="96"/>
      <c r="G41" s="95"/>
      <c r="H41" s="6"/>
      <c r="I41" s="483" t="str">
        <f>IFERROR(IF((VLOOKUP(B41,cennik!A:L,12,0))="O",texty!$A$250,""),"")</f>
        <v/>
      </c>
      <c r="K41" s="196"/>
      <c r="L41" s="3" t="s">
        <v>16</v>
      </c>
    </row>
    <row r="42" spans="1:12" ht="12.75" customHeight="1">
      <c r="A42" s="7" t="str">
        <f>texty!$A$88</f>
        <v>pozicionér do horného vedenia</v>
      </c>
      <c r="B42" s="15">
        <v>298035</v>
      </c>
      <c r="C42" s="25" t="str">
        <f>+VLOOKUP(B42,cennik!$A:$G,2,FALSE)</f>
        <v>SEVROLL Fix pozicionér pre horný vozík tran.</v>
      </c>
      <c r="D42" s="29"/>
      <c r="E42" s="92">
        <f>+VLOOKUP(B42,cennik!$A:$G,3,FALSE)</f>
        <v>1.0605800000000001</v>
      </c>
      <c r="F42" s="97">
        <f t="shared" ref="F42:F52" si="3">+CEILING(D42,1)*E42</f>
        <v>0</v>
      </c>
      <c r="G42" s="93">
        <f t="shared" ref="G42:G54" si="4">+F42*(100-$G$26)/100</f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 t="str">
        <f>IF(D42&gt;0,IF(VLOOKUP(B42,cennik!A:L,12,FALSE)="O",1,""),"")</f>
        <v/>
      </c>
      <c r="L42" s="3"/>
    </row>
    <row r="43" spans="1:12" ht="12.75" customHeight="1">
      <c r="A43" s="7" t="str">
        <f>+System10!A43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29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6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29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29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6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29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6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29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  <c r="L47" s="6"/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29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  <c r="L48" s="6"/>
    </row>
    <row r="49" spans="1:12" ht="12.75" customHeight="1">
      <c r="A49" s="7" t="str">
        <f>texty!$A$97</f>
        <v>tlmič dorazu (pár) 25 kg</v>
      </c>
      <c r="B49" s="24">
        <v>227185</v>
      </c>
      <c r="C49" s="25" t="str">
        <f>+VLOOKUP(B49,cennik!$A:$G,2,FALSE)</f>
        <v>K-SEVROLL tlmič dorazu 10/18mm 14-25kg(L+P)</v>
      </c>
      <c r="D49" s="29"/>
      <c r="E49" s="92">
        <f>+VLOOKUP(B49,cennik!$A:$G,3,FALSE)</f>
        <v>0</v>
      </c>
      <c r="F49" s="97">
        <f t="shared" si="3"/>
        <v>0</v>
      </c>
      <c r="G49" s="93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  <c r="L49" s="6"/>
    </row>
    <row r="50" spans="1:12" ht="12.75" customHeight="1">
      <c r="A50" s="7" t="str">
        <f>texty!$A$98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29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  <c r="L50" s="6"/>
    </row>
    <row r="51" spans="1:12" ht="12.75" customHeight="1">
      <c r="A51" s="7" t="str">
        <f>texty!$A$100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29"/>
      <c r="E51" s="92">
        <f>+VLOOKUP(B51,cennik!$A:$G,3,FALSE)</f>
        <v>17.52046</v>
      </c>
      <c r="F51" s="97">
        <f t="shared" si="3"/>
        <v>0</v>
      </c>
      <c r="G51" s="93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</row>
    <row r="52" spans="1:12" ht="12.75" customHeight="1">
      <c r="A52" s="7" t="str">
        <f>texty!$A$101</f>
        <v>spojovací profil H30-3metre</v>
      </c>
      <c r="B52" s="17">
        <f>+VLOOKUP(P7,data!C399:D401,2,0)</f>
        <v>89069</v>
      </c>
      <c r="C52" s="25" t="str">
        <f>+VLOOKUP(B52,cennik!$A:$G,2,FALSE)</f>
        <v>SEVROLL-253S-SPOJ.LIŠTA H-30mm STR 3m</v>
      </c>
      <c r="D52" s="29"/>
      <c r="E52" s="92">
        <f>+VLOOKUP(B52,cennik!$A:$G,3,FALSE)</f>
        <v>26.594049999999999</v>
      </c>
      <c r="F52" s="97">
        <f t="shared" si="3"/>
        <v>0</v>
      </c>
      <c r="G52" s="93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2" ht="12.75" customHeight="1">
      <c r="A53" s="436" t="str">
        <f>texty!A240</f>
        <v>zámok posuvných dverí</v>
      </c>
      <c r="B53" s="17">
        <v>216363</v>
      </c>
      <c r="C53" s="25" t="str">
        <f>+VLOOKUP(B53,cennik!$A:$G,2,FALSE)</f>
        <v>SEVROLL zámok na posuvné dvere 18 mm</v>
      </c>
      <c r="D53" s="30"/>
      <c r="E53" s="92">
        <f>+VLOOKUP(B53,cennik!$A:$G,3,FALSE)</f>
        <v>17.186150000000001</v>
      </c>
      <c r="F53" s="92">
        <f>+E53*D53</f>
        <v>0</v>
      </c>
      <c r="G53" s="93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</row>
    <row r="54" spans="1:12" ht="12.75" customHeight="1">
      <c r="A54" s="7" t="str">
        <f>texty!$A$92</f>
        <v>spojovacia skrutka</v>
      </c>
      <c r="B54" s="16">
        <v>89244</v>
      </c>
      <c r="C54" s="25" t="str">
        <f>+VLOOKUP(B54,cennik!$A:$G,2,FALSE)</f>
        <v>SEVROLL šroubovrut 6,3*32 -Sevroll a Simple</v>
      </c>
      <c r="D54" s="30"/>
      <c r="E54" s="92">
        <f>+VLOOKUP(B54,cennik!$A:$G,3,FALSE)</f>
        <v>0.14462</v>
      </c>
      <c r="F54" s="92">
        <f>+E54*D54</f>
        <v>0</v>
      </c>
      <c r="G54" s="93">
        <f t="shared" si="4"/>
        <v>0</v>
      </c>
      <c r="H54" s="6" t="str">
        <f>cennik!$B$2</f>
        <v>EUR</v>
      </c>
      <c r="I54" s="483" t="str">
        <f>IFERROR(IF((VLOOKUP(B54,cennik!A:L,12,0))="O",texty!$A$250,""),"")</f>
        <v/>
      </c>
      <c r="K54" s="196" t="str">
        <f>IF(D54&gt;0,IF(VLOOKUP(B54,cennik!A:L,12,FALSE)="O",1,""),"")</f>
        <v/>
      </c>
      <c r="L54" s="6"/>
    </row>
    <row r="55" spans="1:12" ht="12.75" customHeight="1">
      <c r="A55" s="7"/>
      <c r="B55" s="16"/>
      <c r="C55" s="25"/>
      <c r="D55" s="25"/>
      <c r="E55" s="92"/>
      <c r="F55" s="92"/>
      <c r="G55" s="93"/>
      <c r="H55" s="6"/>
      <c r="I55" s="483" t="str">
        <f>IFERROR(IF((VLOOKUP(B55,cennik!A:L,12,0))="O",texty!$A$250,""),"")</f>
        <v/>
      </c>
      <c r="K55" s="196" t="str">
        <f>IF(D55&gt;0,IF(VLOOKUP(B55,cennik!A:L,12,FALSE)="O",1,""),"")</f>
        <v/>
      </c>
      <c r="L55" s="6"/>
    </row>
    <row r="56" spans="1:12" ht="12.75" customHeight="1">
      <c r="A56" s="41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6" s="42"/>
      <c r="C56" s="43"/>
      <c r="D56" s="44"/>
      <c r="E56" s="98"/>
      <c r="F56" s="98"/>
      <c r="G56" s="98"/>
      <c r="H56" s="99"/>
      <c r="I56" s="483" t="str">
        <f>IFERROR(IF((VLOOKUP(B56,cennik!A:L,12,0))="O",texty!$A$250,""),"")</f>
        <v/>
      </c>
      <c r="J56" s="186"/>
      <c r="K56" s="196" t="str">
        <f>IF(D56&gt;0,IF(VLOOKUP(B56,cennik!A:L,12,FALSE)="O",1,""),"")</f>
        <v/>
      </c>
      <c r="L56" s="6"/>
    </row>
    <row r="57" spans="1:12" ht="12.75" customHeight="1">
      <c r="C57" s="40" t="str">
        <f>texty!$A$10</f>
        <v>Potrebná dĺžka tesnenia pri celkovom presklení (nutné objednať celé metre)</v>
      </c>
      <c r="D57" s="39">
        <f>CEILING(((B9+C9)*2/1000*D4),1)</f>
        <v>0</v>
      </c>
      <c r="E57" s="95"/>
      <c r="F57" s="95"/>
      <c r="G57" s="95"/>
      <c r="H57" s="95"/>
      <c r="I57" s="483" t="str">
        <f>IFERROR(IF((VLOOKUP(B57,cennik!A:L,12,0))="O",texty!$A$250,""),"")</f>
        <v/>
      </c>
      <c r="J57" s="186"/>
      <c r="K57" s="196"/>
      <c r="L57" s="6"/>
    </row>
    <row r="58" spans="1:12" ht="12.75" customHeight="1">
      <c r="A58" s="48" t="str">
        <f>texty!$A$12</f>
        <v>(pri kombináciach s H profilmi je nutné pripočítať potrebnú dĺžku - tesnenie musí byť po celom odvode každého skla</v>
      </c>
      <c r="B58" s="46"/>
      <c r="C58" s="47"/>
      <c r="D58" s="46"/>
      <c r="E58" s="100"/>
      <c r="F58" s="100"/>
      <c r="G58" s="100"/>
      <c r="H58" s="100"/>
      <c r="I58" s="483" t="str">
        <f>IFERROR(IF((VLOOKUP(B58,cennik!A:L,12,0))="O",texty!$A$250,""),"")</f>
        <v/>
      </c>
      <c r="J58" s="186"/>
      <c r="K58" s="196" t="str">
        <f>IF(D58&gt;0,IF(VLOOKUP(B58,cennik!A:L,12,FALSE)="O",1,""),"")</f>
        <v/>
      </c>
      <c r="L58" s="6"/>
    </row>
    <row r="59" spans="1:12" ht="12.75" customHeight="1">
      <c r="A59" s="7" t="str">
        <f>System10!A59</f>
        <v>tesnenie na sklo 4mm</v>
      </c>
      <c r="B59" s="17">
        <v>89238</v>
      </c>
      <c r="C59" s="25" t="str">
        <f>+VLOOKUP(B59,cennik!$A:$G,2,FALSE)</f>
        <v>SEVROLL tesnenie na sklo 10/4mm</v>
      </c>
      <c r="D59" s="45"/>
      <c r="E59" s="92">
        <f>+VLOOKUP(B59,cennik!$A:$G,3,FALSE)</f>
        <v>0.89917999999999998</v>
      </c>
      <c r="F59" s="97">
        <f>+CEILING(D59,1)*E59</f>
        <v>0</v>
      </c>
      <c r="G59" s="93">
        <f>+F59*(100-$G$26)/100</f>
        <v>0</v>
      </c>
      <c r="H59" s="6" t="str">
        <f>cennik!$B$2</f>
        <v>EUR</v>
      </c>
      <c r="I59" s="483" t="str">
        <f>IFERROR(IF((VLOOKUP(B59,cennik!A:L,12,0))="O",texty!$A$250,""),"")</f>
        <v/>
      </c>
      <c r="J59" s="186"/>
      <c r="K59" s="196" t="str">
        <f>IF(D59&gt;0,IF(VLOOKUP(B59,cennik!A:L,12,FALSE)="O",1,""),"")</f>
        <v/>
      </c>
      <c r="L59" s="6"/>
    </row>
    <row r="60" spans="1:12" ht="12.75" customHeight="1">
      <c r="A60" s="7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5"/>
      <c r="E60" s="92">
        <f>+VLOOKUP(B60,cennik!$A:$G,3,FALSE)</f>
        <v>0.79542999999999997</v>
      </c>
      <c r="F60" s="97">
        <f>+CEILING(D60,1)*E60</f>
        <v>0</v>
      </c>
      <c r="G60" s="93">
        <f>+F60*(100-$G$26)/100</f>
        <v>0</v>
      </c>
      <c r="H60" s="6" t="str">
        <f>cennik!$B$2</f>
        <v>EUR</v>
      </c>
      <c r="I60" s="483" t="str">
        <f>IFERROR(IF((VLOOKUP(B60,cennik!A:L,12,0))="O",texty!$A$250,""),"")</f>
        <v/>
      </c>
      <c r="J60" s="186"/>
      <c r="K60" s="196" t="str">
        <f>IF(D60&gt;0,IF(VLOOKUP(B60,cennik!A:L,12,FALSE)="O",1,""),"")</f>
        <v/>
      </c>
      <c r="L60" s="3"/>
    </row>
    <row r="61" spans="1:12" ht="12.75" customHeight="1">
      <c r="A61" s="7" t="str">
        <f>System10!A61</f>
        <v>tesnenie na sklo 6mm</v>
      </c>
      <c r="B61" s="17">
        <v>89243</v>
      </c>
      <c r="C61" s="25" t="str">
        <f>+VLOOKUP(B61,cennik!$A:$G,2,FALSE)</f>
        <v>SEVROLL tesnenie na sklo 10/6mm</v>
      </c>
      <c r="D61" s="45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86"/>
      <c r="K61" s="196" t="str">
        <f>IF(D61&gt;0,IF(VLOOKUP(B61,cennik!A:L,12,FALSE)="O",1,""),"")</f>
        <v/>
      </c>
      <c r="L61" s="6"/>
    </row>
    <row r="62" spans="1:12" ht="16">
      <c r="A62" s="285" t="str">
        <f>texty!$A$190</f>
        <v>Ďalšie príslušenstvo</v>
      </c>
      <c r="E62" s="95"/>
      <c r="F62" s="95"/>
      <c r="G62" s="95"/>
      <c r="H62" s="6"/>
      <c r="I62" s="483" t="str">
        <f>IFERROR(IF((VLOOKUP(B62,cennik!A:L,12,0))="O",texty!$A$250,""),"")</f>
        <v/>
      </c>
      <c r="J62" s="186"/>
      <c r="K62" s="196" t="str">
        <f>IF(D62&gt;0,IF(VLOOKUP(B62,cennik!A:L,12,FALSE)="O",1,""),"")</f>
        <v/>
      </c>
      <c r="L62" s="6"/>
    </row>
    <row r="63" spans="1:12" ht="12.75" customHeight="1">
      <c r="A63" s="285" t="str">
        <f>texty!$A$244</f>
        <v>Technický nákres tohoto systému</v>
      </c>
      <c r="B63" s="172">
        <v>129677</v>
      </c>
      <c r="C63" s="172" t="str">
        <f>VLOOKUP(B63,cennik!A:C,2,0)</f>
        <v>SEVROLL-MONT.PRÍPRAVOK NA DTD 10mm MALÝ</v>
      </c>
      <c r="D63" s="45"/>
      <c r="E63" s="92">
        <f>+VLOOKUP(B63,cennik!$A:$G,3,FALSE)</f>
        <v>5.60419</v>
      </c>
      <c r="F63" s="97">
        <f>+CEILING(D63,1)*E63</f>
        <v>0</v>
      </c>
      <c r="G63" s="93">
        <f>F63</f>
        <v>0</v>
      </c>
      <c r="H63" s="6" t="str">
        <f>cennik!$B$2</f>
        <v>EUR</v>
      </c>
      <c r="I63" s="483" t="str">
        <f>IFERROR(IF((VLOOKUP(B63,cennik!A:L,12,0))="O",texty!$A$250,""),"")</f>
        <v/>
      </c>
      <c r="J63" s="186"/>
      <c r="K63" s="196" t="str">
        <f>IF(D63&gt;0,IF(VLOOKUP(B63,cennik!A:L,12,FALSE)="O",1,""),"")</f>
        <v/>
      </c>
      <c r="L63" s="6"/>
    </row>
    <row r="64" spans="1:12" ht="12.75" customHeight="1">
      <c r="B64" s="172">
        <v>128842</v>
      </c>
      <c r="C64" s="172" t="str">
        <f>VLOOKUP(B64,cennik!A:C,2,0)</f>
        <v>SEVROLL-VRTÁK STUPŇOVITÝ 6,5/9,5mm</v>
      </c>
      <c r="D64" s="45"/>
      <c r="E64" s="92">
        <f>+VLOOKUP(B64,cennik!$A:$G,3,FALSE)</f>
        <v>23.986910000000002</v>
      </c>
      <c r="F64" s="97">
        <f>+CEILING(D64,1)*E64</f>
        <v>0</v>
      </c>
      <c r="G64" s="93">
        <f>F64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86"/>
      <c r="K64" s="196" t="str">
        <f>IF(D64&gt;0,IF(VLOOKUP(B64,cennik!A:L,12,FALSE)="O",1,""),"")</f>
        <v/>
      </c>
      <c r="L64" s="6"/>
    </row>
    <row r="65" spans="1:14" ht="12.75" customHeight="1">
      <c r="A65" s="655" t="str">
        <f>IF(SUM(D50:D51)&gt;0,IF(C7&lt;(B4/3),texty!$A$212,""),"")</f>
        <v/>
      </c>
      <c r="B65" s="655"/>
      <c r="C65" s="655"/>
      <c r="D65" s="655"/>
      <c r="E65" s="655"/>
      <c r="F65" s="655"/>
      <c r="G65" s="655"/>
      <c r="H65" s="655"/>
      <c r="I65" s="655"/>
      <c r="J65" s="655"/>
      <c r="K65" s="135"/>
    </row>
    <row r="66" spans="1:14" ht="12.75" customHeight="1">
      <c r="B66" s="8"/>
      <c r="C66" s="8"/>
      <c r="D66" s="77" t="str">
        <f>texty!$A$15</f>
        <v>CELKOM  (bez DPH)</v>
      </c>
      <c r="E66" s="100"/>
      <c r="F66" s="102">
        <f>SUM(F27:F64)</f>
        <v>120.76098</v>
      </c>
      <c r="G66" s="102">
        <f>SUM(G28:G64)</f>
        <v>120.76098</v>
      </c>
      <c r="H66" s="6" t="str">
        <f>cennik!$B$2</f>
        <v>EUR</v>
      </c>
      <c r="J66" s="186"/>
      <c r="K66" s="186"/>
      <c r="L66" s="5" t="str">
        <f>texty!A128</f>
        <v xml:space="preserve">strieborná </v>
      </c>
      <c r="M66" s="21" t="s">
        <v>2884</v>
      </c>
    </row>
    <row r="67" spans="1:14" ht="12.75" customHeight="1">
      <c r="A67" s="76" t="str">
        <f>System10!$A$67</f>
        <v>Vaša poznámka:</v>
      </c>
      <c r="B67" s="661"/>
      <c r="C67" s="662"/>
      <c r="D67" s="662"/>
      <c r="E67" s="662"/>
      <c r="F67" s="662"/>
      <c r="G67" s="663"/>
      <c r="I67" s="5"/>
      <c r="L67" s="5" t="str">
        <f>texty!A130</f>
        <v>oliva</v>
      </c>
      <c r="M67" s="21" t="s">
        <v>45</v>
      </c>
    </row>
    <row r="68" spans="1:14" ht="12.75" customHeight="1">
      <c r="A68" s="657">
        <f>profil!$U$15</f>
        <v>0</v>
      </c>
      <c r="B68" s="658"/>
      <c r="C68" s="658"/>
      <c r="D68" s="658"/>
      <c r="E68" s="658"/>
      <c r="F68" s="658"/>
      <c r="G68" s="658"/>
      <c r="H68" s="658"/>
    </row>
    <row r="69" spans="1:14" ht="12.75" customHeight="1">
      <c r="A69" s="659" t="str">
        <f>IF(N69=1,texty!$A$215,IF(K69&gt;0,texty!$A$214,""))</f>
        <v/>
      </c>
      <c r="B69" s="659"/>
      <c r="C69" s="659"/>
      <c r="D69" s="659"/>
      <c r="E69" s="659"/>
      <c r="F69" s="659"/>
      <c r="G69" s="659"/>
      <c r="H69" s="659"/>
      <c r="K69" s="6">
        <f>SUM(K28:K64)</f>
        <v>0</v>
      </c>
      <c r="N69" s="5">
        <f>IF(ISERROR(K69),1,0)</f>
        <v>0</v>
      </c>
    </row>
    <row r="70" spans="1:14" ht="12.75" customHeight="1"/>
    <row r="71" spans="1:14" ht="12.75" customHeight="1"/>
  </sheetData>
  <sheetProtection algorithmName="SHA-512" hashValue="gW5q3+K5WqOj5CXa6IaQRPLTABBXwx3HfqalkrwSJQwR7kNbsL/9fmQrblqShilQv3PXWCzPpoTl2m2BEP/EXQ==" saltValue="y9lHFUk0PuvdF32WpA29SA==" spinCount="100000" sheet="1" objects="1" scenarios="1"/>
  <mergeCells count="13">
    <mergeCell ref="A69:H69"/>
    <mergeCell ref="U6:U7"/>
    <mergeCell ref="A68:H68"/>
    <mergeCell ref="R6:R7"/>
    <mergeCell ref="S6:S7"/>
    <mergeCell ref="T6:T7"/>
    <mergeCell ref="G4:J6"/>
    <mergeCell ref="A65:J65"/>
    <mergeCell ref="B67:G67"/>
    <mergeCell ref="I19:I20"/>
    <mergeCell ref="I21:I22"/>
    <mergeCell ref="B5:F5"/>
    <mergeCell ref="A14:B15"/>
  </mergeCells>
  <phoneticPr fontId="0" type="noConversion"/>
  <conditionalFormatting sqref="D6">
    <cfRule type="expression" dxfId="193" priority="7">
      <formula>$D$4=4</formula>
    </cfRule>
    <cfRule type="expression" dxfId="192" priority="8">
      <formula>$D$4&lt;&gt;4</formula>
    </cfRule>
  </conditionalFormatting>
  <conditionalFormatting sqref="G4:J6">
    <cfRule type="expression" dxfId="191" priority="6">
      <formula>$D$4=4</formula>
    </cfRule>
  </conditionalFormatting>
  <conditionalFormatting sqref="I19:I20">
    <cfRule type="expression" dxfId="190" priority="4">
      <formula>$F$4=$M$67</formula>
    </cfRule>
  </conditionalFormatting>
  <conditionalFormatting sqref="I21:I22">
    <cfRule type="expression" dxfId="189" priority="5">
      <formula>$F$4=$M$66</formula>
    </cfRule>
  </conditionalFormatting>
  <conditionalFormatting sqref="A14">
    <cfRule type="expression" dxfId="188" priority="3">
      <formula>SUM($D$47:$D$48)&gt;0</formula>
    </cfRule>
  </conditionalFormatting>
  <dataValidations count="7">
    <dataValidation type="list" allowBlank="1" showInputMessage="1" showErrorMessage="1" sqref="E6:F6" xr:uid="{00000000-0002-0000-0C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imální výška je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BD44263-60D1-418C-B925-761CBB938C82}">
            <xm:f>$I28=texty!$A$250</xm:f>
            <x14:dxf>
              <font>
                <color rgb="FFFF0000"/>
              </font>
            </x14:dxf>
          </x14:cfRule>
          <xm:sqref>I28:I64</xm:sqref>
        </x14:conditionalFormatting>
        <x14:conditionalFormatting xmlns:xm="http://schemas.microsoft.com/office/excel/2006/main">
          <x14:cfRule type="expression" priority="1" id="{F7EB2556-3C4F-4B4B-93B4-3E1E66BBB732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5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8.83203125" style="5" customWidth="1"/>
    <col min="2" max="2" width="14.6640625" style="5" customWidth="1"/>
    <col min="3" max="3" width="40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3.1640625" style="6" customWidth="1"/>
    <col min="10" max="10" width="15" style="6" hidden="1" customWidth="1"/>
    <col min="11" max="16384" width="1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-6.25</v>
      </c>
    </row>
    <row r="2" spans="1:21" ht="18.75" customHeight="1">
      <c r="A2" s="538" t="s">
        <v>1000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36" customHeight="1" thickBot="1">
      <c r="A3" s="539" t="str">
        <f>CONCATENATE(texty!A243," ",5,".",59)</f>
        <v>katalóg kovania 2018 str. 5.59</v>
      </c>
      <c r="B3" s="434" t="str">
        <f>CONCATENATE(texty!A34," / max.      3 040 mm /")</f>
        <v>výška / max.      3 040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664"/>
      <c r="G4" s="664"/>
      <c r="H4" s="664"/>
      <c r="I4" s="664"/>
      <c r="J4" s="195"/>
      <c r="K4" s="8"/>
      <c r="N4" s="5">
        <f>IF(C4&lt;1701,1700,IF(C4&lt;2351,2350,IF(C4&lt;3001,3000,IF(C4&lt;4051,4050,6000))))</f>
        <v>1700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1700-strieborná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647</v>
      </c>
      <c r="S6" s="645" t="s">
        <v>648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+B4-40</f>
        <v>-40</v>
      </c>
      <c r="C7" s="59">
        <f>+((C4-3+22*(D4-1))/D4+IF(AND(D4=4,D6=2),L1,0))</f>
        <v>13.666666666666666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1700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+System10!A8</f>
        <v>rozmer výplne 10 mm:</v>
      </c>
      <c r="B8" s="57">
        <f>+B7-64</f>
        <v>-104</v>
      </c>
      <c r="C8" s="59">
        <f>+C7-25</f>
        <v>-11.333333333333334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1700-strieborná </v>
      </c>
      <c r="O8" s="21"/>
      <c r="P8" s="5">
        <v>1</v>
      </c>
      <c r="Q8" s="164">
        <f>$C$10+5</f>
        <v>-23.333333333333336</v>
      </c>
      <c r="R8" s="5">
        <f>FLOOR(1700/Q8,1)</f>
        <v>-73</v>
      </c>
      <c r="S8" s="5">
        <f>FLOOR(2350/Q8,1)</f>
        <v>-101</v>
      </c>
      <c r="T8" s="5">
        <f>FLOOR(3000/Q8,1)</f>
        <v>-129</v>
      </c>
    </row>
    <row r="9" spans="1:21" ht="12.75" customHeight="1">
      <c r="A9" s="10" t="str">
        <f>+System10!A9</f>
        <v>rozmer zrkadla / skla</v>
      </c>
      <c r="B9" s="57">
        <f>+B8</f>
        <v>-104</v>
      </c>
      <c r="C9" s="59">
        <f>+C8-4</f>
        <v>-15.333333333333334</v>
      </c>
      <c r="D9" s="8"/>
      <c r="E9" s="8"/>
      <c r="F9" s="50" t="str">
        <f>texty!$A$41</f>
        <v>alebo sklo zabezpečiť ochrannou fóliou</v>
      </c>
      <c r="G9" s="6"/>
      <c r="K9" s="37">
        <f>C10*D4</f>
        <v>-85</v>
      </c>
      <c r="L9" s="36">
        <f>(D4+1)*5</f>
        <v>20</v>
      </c>
      <c r="P9" s="5">
        <v>2</v>
      </c>
      <c r="Q9" s="164">
        <f t="shared" ref="Q9:Q14" si="0">Q8+$C$10+5</f>
        <v>-46.666666666666671</v>
      </c>
      <c r="R9" s="5">
        <f>(1700-C10)*R17</f>
        <v>-1728.3333333333333</v>
      </c>
      <c r="S9" s="5">
        <f>(2350-C10)*S17</f>
        <v>-2378.3333333333335</v>
      </c>
      <c r="T9" s="5">
        <f>(3000-C10)*T17</f>
        <v>-3028.3333333333335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+C7-42</f>
        <v>-28.333333333333336</v>
      </c>
      <c r="D10" s="8"/>
      <c r="E10" s="8"/>
      <c r="F10" s="3" t="str">
        <f>texty!$A$43</f>
        <v>Maximálna hmotnosť krídla je 50 kg</v>
      </c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-70</v>
      </c>
    </row>
    <row r="11" spans="1:21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G11" s="40"/>
      <c r="K11" s="36">
        <f>IF((K9+L9)&lt;1700,1700,IF((K9+L9)&lt;2350,2350,IF((K9+L9)&lt;3000,3000,"jiné")))</f>
        <v>1700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-93.333333333333343</v>
      </c>
    </row>
    <row r="12" spans="1:21" ht="12.75" customHeight="1">
      <c r="A12" s="10" t="str">
        <f>+System10!A12</f>
        <v>úchytková lišta</v>
      </c>
      <c r="B12" s="502">
        <f>+B7</f>
        <v>-40</v>
      </c>
      <c r="C12" s="503"/>
      <c r="D12" s="8"/>
      <c r="E12" s="8"/>
      <c r="F12" s="6"/>
      <c r="G12" s="6"/>
      <c r="K12" s="6">
        <f>C10*(D4-1)+(D4*5)</f>
        <v>-41.666666666666671</v>
      </c>
      <c r="L12" s="5">
        <f>IF(K12&lt;1700,1700,IF(K12&lt;2350,2350,IF(K12&lt;3000,3000,3000)))</f>
        <v>1700</v>
      </c>
      <c r="M12" s="5">
        <f>L12-K12</f>
        <v>1741.6666666666667</v>
      </c>
      <c r="P12" s="5">
        <v>5</v>
      </c>
      <c r="Q12" s="164">
        <f t="shared" si="0"/>
        <v>-116.66666666666669</v>
      </c>
    </row>
    <row r="13" spans="1:21" ht="12.75" customHeight="1">
      <c r="A13" s="147" t="str">
        <f>System10!A13</f>
        <v>Dĺžka tesnenia na sklo na jednom krídle</v>
      </c>
      <c r="B13" s="58"/>
      <c r="C13" s="145">
        <f>ROUND(B8*2+C9*2,0)</f>
        <v>-239</v>
      </c>
      <c r="D13" s="8"/>
      <c r="E13" s="8"/>
      <c r="F13" s="6"/>
      <c r="G13" s="6"/>
      <c r="K13" s="35">
        <f>C10+10</f>
        <v>-18.333333333333336</v>
      </c>
      <c r="L13" s="5">
        <f>IF(M12&gt;=0,IF(K13&lt;1700,1700,IF(K13&lt;2350,2350,IF(K13&lt;3000,3000,"jiné"))),IF((K13+C10)&lt;1700,1700,IF((K13+C10)&lt;2350,2350,IF((K13+C10)&lt;3000,3000,"jiné"))))</f>
        <v>1700</v>
      </c>
      <c r="M13" s="5">
        <f>L13-K13</f>
        <v>1718.3333333333333</v>
      </c>
      <c r="P13" s="5">
        <v>6</v>
      </c>
      <c r="Q13" s="164">
        <f t="shared" si="0"/>
        <v>-140.00000000000003</v>
      </c>
    </row>
    <row r="14" spans="1:21" ht="26">
      <c r="A14" s="644" t="str">
        <f>IF(SUM(D48:D49)&gt;0,texty!A245,"")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6"/>
      <c r="G14" s="6"/>
      <c r="K14" s="6"/>
      <c r="L14" s="5">
        <f>SUM(L12:L13)</f>
        <v>3400</v>
      </c>
      <c r="M14" s="5">
        <f>SUM(M12:M13)</f>
        <v>3460</v>
      </c>
      <c r="P14" s="5">
        <v>7</v>
      </c>
      <c r="Q14" s="164">
        <f t="shared" si="0"/>
        <v>-163.33333333333337</v>
      </c>
    </row>
    <row r="15" spans="1:21" ht="17.25" customHeight="1">
      <c r="A15" s="644"/>
      <c r="B15" s="644"/>
      <c r="C15" s="504"/>
      <c r="D15" s="8"/>
      <c r="E15" s="8"/>
      <c r="F15" s="6"/>
      <c r="G15" s="6"/>
      <c r="K15" s="6"/>
      <c r="Q15" s="164"/>
    </row>
    <row r="16" spans="1:21" ht="13">
      <c r="A16" s="436"/>
      <c r="B16" s="17"/>
      <c r="C16" s="504"/>
      <c r="D16" s="8"/>
      <c r="E16" s="8"/>
      <c r="F16" s="6"/>
      <c r="G16" s="6"/>
      <c r="K16" s="6"/>
      <c r="Q16" s="164"/>
    </row>
    <row r="17" spans="1:21" ht="12.75" customHeight="1">
      <c r="B17" s="17"/>
      <c r="C17" s="447"/>
      <c r="D17" s="8"/>
      <c r="E17" s="8"/>
      <c r="F17" s="6"/>
      <c r="G17" s="6"/>
      <c r="K17" s="6"/>
      <c r="L17" s="5">
        <f>L14-C4</f>
        <v>3400</v>
      </c>
      <c r="P17" s="5" t="s">
        <v>650</v>
      </c>
      <c r="R17" s="5">
        <f>FLOOR($D$4/R8,1)</f>
        <v>-1</v>
      </c>
      <c r="S17" s="5">
        <f>FLOOR($D$4/S8,1)</f>
        <v>-1</v>
      </c>
      <c r="T17" s="5">
        <f>FLOOR($D$4/T8,1)</f>
        <v>-1</v>
      </c>
    </row>
    <row r="18" spans="1:21" ht="12.75" customHeight="1">
      <c r="A18" s="436"/>
      <c r="B18" s="17"/>
      <c r="C18" s="447"/>
      <c r="D18" s="8"/>
      <c r="E18" s="8"/>
      <c r="F18" s="6"/>
      <c r="G18" s="6"/>
      <c r="K18" s="6"/>
    </row>
    <row r="19" spans="1:21" ht="14.25" customHeight="1">
      <c r="A19" s="436"/>
      <c r="B19" s="498" t="str">
        <f>texty!A242</f>
        <v>dilatácia 4 mm</v>
      </c>
      <c r="C19" s="120"/>
      <c r="D19" s="8"/>
      <c r="E19" s="8"/>
      <c r="F19" s="6"/>
      <c r="G19" s="6"/>
      <c r="K19" s="6"/>
    </row>
    <row r="20" spans="1:21" ht="16.5" customHeight="1">
      <c r="A20" s="7"/>
      <c r="B20" s="8"/>
      <c r="C20" s="8"/>
      <c r="E20" s="8"/>
      <c r="F20" s="6"/>
      <c r="G20" s="6"/>
      <c r="K20" s="6"/>
      <c r="L20" s="6"/>
      <c r="Q20" s="5" t="s">
        <v>694</v>
      </c>
      <c r="R20" s="5" t="s">
        <v>693</v>
      </c>
      <c r="S20" s="5">
        <v>1700</v>
      </c>
      <c r="T20" s="5">
        <v>2350</v>
      </c>
      <c r="U20" s="5">
        <v>3000</v>
      </c>
    </row>
    <row r="21" spans="1:21" ht="16.5" customHeight="1">
      <c r="A21" s="7"/>
      <c r="B21" s="8"/>
      <c r="C21" s="8"/>
      <c r="D21" s="13"/>
      <c r="E21" s="8"/>
      <c r="F21" s="6"/>
      <c r="G21" s="6"/>
      <c r="K21" s="6"/>
      <c r="P21" s="5">
        <v>1</v>
      </c>
      <c r="Q21" s="5">
        <f>R8</f>
        <v>-73</v>
      </c>
      <c r="R21" s="5" t="str">
        <f>IF(Q21&gt;=D4,1,"")</f>
        <v/>
      </c>
      <c r="S21" s="168" t="str">
        <f>IF(R21=1,1,"")</f>
        <v/>
      </c>
      <c r="T21" s="168"/>
      <c r="U21" s="168"/>
    </row>
    <row r="22" spans="1:21" ht="12.75" customHeight="1">
      <c r="A22" s="7"/>
      <c r="B22" s="8"/>
      <c r="C22" s="8"/>
      <c r="D22" s="8"/>
      <c r="E22" s="8"/>
      <c r="F22" s="6"/>
      <c r="G22" s="6"/>
      <c r="K22" s="3"/>
      <c r="P22" s="5">
        <v>2</v>
      </c>
      <c r="Q22" s="5">
        <f>S8</f>
        <v>-101</v>
      </c>
      <c r="R22" s="5" t="str">
        <f>IF(Q22&gt;=D4,IF(R21=1,"",1),"")</f>
        <v/>
      </c>
      <c r="S22" s="168"/>
      <c r="T22" s="168" t="str">
        <f>IF(R22=1,1,"")</f>
        <v/>
      </c>
      <c r="U22" s="168"/>
    </row>
    <row r="23" spans="1:21" ht="12.75" customHeight="1">
      <c r="A23" s="7"/>
      <c r="B23" s="8"/>
      <c r="C23" s="8"/>
      <c r="D23" s="8"/>
      <c r="E23" s="8"/>
      <c r="F23" s="6"/>
      <c r="G23" s="6"/>
      <c r="P23" s="5">
        <v>3</v>
      </c>
      <c r="Q23" s="5">
        <f>T8</f>
        <v>-129</v>
      </c>
      <c r="R23" s="5" t="str">
        <f>IF(Q23&gt;=D4,IF(Q22&gt;=D4,"",1),"")</f>
        <v/>
      </c>
      <c r="U23" s="168" t="str">
        <f>IF(R23=1,1,"")</f>
        <v/>
      </c>
    </row>
    <row r="24" spans="1:21" ht="12.75" customHeight="1">
      <c r="A24" s="7"/>
      <c r="B24" s="8"/>
      <c r="C24" s="8"/>
      <c r="D24" s="8"/>
      <c r="E24" s="8"/>
      <c r="F24" s="6"/>
      <c r="G24" s="6"/>
      <c r="K24" s="5" t="str">
        <f>CONCATENATE(M24,"-",$O$7)</f>
        <v xml:space="preserve">1700-strieborná </v>
      </c>
      <c r="L24" s="6">
        <f>SUM(S21:S43)</f>
        <v>0</v>
      </c>
      <c r="M24" s="5">
        <v>1700</v>
      </c>
      <c r="O24" s="5" t="s">
        <v>652</v>
      </c>
      <c r="P24" s="167" t="s">
        <v>653</v>
      </c>
      <c r="Q24" s="5">
        <f>R8+S8</f>
        <v>-174</v>
      </c>
      <c r="R24" s="5" t="str">
        <f>IF(Q24&gt;=D4,IF(SUM(R21:R23)&gt;0,"",1),"")</f>
        <v/>
      </c>
      <c r="S24" s="168" t="str">
        <f>IF(R24=1,1,"")</f>
        <v/>
      </c>
      <c r="T24" s="168" t="str">
        <f>IF(R24=1,1,"")</f>
        <v/>
      </c>
    </row>
    <row r="25" spans="1:21" ht="12.75" customHeight="1">
      <c r="A25" s="7"/>
      <c r="B25" s="8"/>
      <c r="D25" s="8"/>
      <c r="E25" s="8"/>
      <c r="F25" s="8"/>
      <c r="G25" s="131" t="str">
        <f>+System10!G25</f>
        <v>partnerská zľava:</v>
      </c>
      <c r="K25" s="5" t="str">
        <f>CONCATENATE(M25,"-",$O$7)</f>
        <v xml:space="preserve">2350-strieborná </v>
      </c>
      <c r="L25" s="6">
        <f>SUM(T21:T43)</f>
        <v>0</v>
      </c>
      <c r="M25" s="5">
        <v>2350</v>
      </c>
      <c r="P25" s="5" t="s">
        <v>689</v>
      </c>
      <c r="Q25" s="5">
        <f>S8+S8</f>
        <v>-202</v>
      </c>
      <c r="R25" s="5" t="str">
        <f>IF(Q25&gt;=D4,IF(SUM(R21:R24)&gt;0,"",1),"")</f>
        <v/>
      </c>
      <c r="T25" s="168" t="str">
        <f>IF(R25=1,2,"")</f>
        <v/>
      </c>
    </row>
    <row r="26" spans="1:21" ht="12.75" customHeight="1">
      <c r="A26" s="14" t="str">
        <f>+System10!A26</f>
        <v>Objednávacie kódy, ceny:</v>
      </c>
      <c r="B26" s="8"/>
      <c r="D26" s="8"/>
      <c r="E26" s="8"/>
      <c r="F26" s="8"/>
      <c r="G26" s="143">
        <f>profil!C15</f>
        <v>0</v>
      </c>
      <c r="H26" s="28"/>
      <c r="K26" s="5" t="str">
        <f>CONCATENATE(M26,"-",$O$7)</f>
        <v xml:space="preserve">3000-strieborná </v>
      </c>
      <c r="L26" s="6">
        <f>SUM(U21:U43)</f>
        <v>0</v>
      </c>
      <c r="M26" s="5">
        <v>3000</v>
      </c>
      <c r="N26" s="165"/>
      <c r="P26" s="5" t="s">
        <v>654</v>
      </c>
      <c r="Q26" s="5">
        <f>R8+T8</f>
        <v>-202</v>
      </c>
      <c r="R26" s="5" t="str">
        <f>IF(Q26&gt;=D4,IF(SUM(R21:R25)&gt;0,"",1),"")</f>
        <v/>
      </c>
      <c r="S26" s="168" t="str">
        <f>IF(R26=1,1,"")</f>
        <v/>
      </c>
      <c r="U26" s="168" t="str">
        <f>IF(R26=1,1,"")</f>
        <v/>
      </c>
    </row>
    <row r="27" spans="1:21" ht="12.75" customHeight="1">
      <c r="A27" s="7"/>
      <c r="B27" s="19" t="str">
        <f>+System10!B27</f>
        <v>kód</v>
      </c>
      <c r="C27" s="18" t="str">
        <f>+System10!C27</f>
        <v>názov</v>
      </c>
      <c r="D27" s="19" t="str">
        <f>+System10!D27</f>
        <v>ks</v>
      </c>
      <c r="E27" s="19" t="str">
        <f>+System10!E27</f>
        <v>cena/ks</v>
      </c>
      <c r="F27" s="19" t="str">
        <f>+System10!F27</f>
        <v>cena celkom</v>
      </c>
      <c r="G27" s="20" t="str">
        <f>+System10!G27</f>
        <v>celkom netto:</v>
      </c>
      <c r="I27" s="18" t="str">
        <f>texty!A29</f>
        <v>Poznámka:</v>
      </c>
      <c r="J27" s="18"/>
      <c r="K27" s="6"/>
      <c r="L27" s="5">
        <f>COUNT(L24,L25,L26)</f>
        <v>3</v>
      </c>
      <c r="M27" s="165"/>
      <c r="N27" s="165"/>
      <c r="P27" s="5" t="s">
        <v>655</v>
      </c>
      <c r="Q27" s="5">
        <f>S8+T8</f>
        <v>-230</v>
      </c>
      <c r="R27" s="5" t="str">
        <f>IF(Q27&gt;=D4,IF(SUM(R21:R26)&gt;0,"",1),"")</f>
        <v/>
      </c>
      <c r="T27" s="168" t="str">
        <f>IF(R27=1,1,"")</f>
        <v/>
      </c>
      <c r="U27" s="168" t="str">
        <f>IF(R27=1,1,"")</f>
        <v/>
      </c>
    </row>
    <row r="28" spans="1:21" ht="12.75" customHeight="1">
      <c r="A28" s="7" t="str">
        <f>+System10!A28</f>
        <v>Horný profil:</v>
      </c>
      <c r="B28" s="16">
        <f>+VLOOKUP(N5,data!$C$605:$D$614,2,0)</f>
        <v>98110</v>
      </c>
      <c r="C28" s="25" t="str">
        <f>+VLOOKUP(B28,cennik!$A:$G,2,FALSE)</f>
        <v>SEVROLL-HOR. VEDENIE COMFORT 1,70 M STR.</v>
      </c>
      <c r="D28" s="17">
        <v>1</v>
      </c>
      <c r="E28" s="92">
        <f>+VLOOKUP(B28,cennik!$A:$G,3,FALSE)</f>
        <v>32.275260000000003</v>
      </c>
      <c r="F28" s="92">
        <f t="shared" ref="F28:F38" si="1">+E28*D28</f>
        <v>32.275260000000003</v>
      </c>
      <c r="G28" s="93">
        <f t="shared" ref="G28:G38" si="2">+F28*(100-$G$26)/100</f>
        <v>32.275260000000003</v>
      </c>
      <c r="H28" s="6" t="str">
        <f>cennik!$B$2</f>
        <v>EUR</v>
      </c>
      <c r="I28" s="483" t="str">
        <f>IFERROR(IF((VLOOKUP(B28,cennik!A:L,12,0))="O",texty!$A$250,""),"")</f>
        <v>Na objednávku</v>
      </c>
      <c r="J28" s="196">
        <f>IF(D28&gt;0,IF(VLOOKUP(B28,cennik!A:L,12,FALSE)="O",1,""),"")</f>
        <v>1</v>
      </c>
      <c r="K28" s="6"/>
      <c r="L28" s="165"/>
      <c r="M28" s="165"/>
      <c r="N28" s="165"/>
      <c r="P28" s="5" t="s">
        <v>690</v>
      </c>
      <c r="Q28" s="5">
        <f>T8+T8</f>
        <v>-258</v>
      </c>
      <c r="R28" s="5" t="str">
        <f>IF(Q28&gt;=D4,IF(SUM(R21:R27)&gt;0,"",1),"")</f>
        <v/>
      </c>
      <c r="U28" s="168" t="str">
        <f>IF(R28=1,2,"")</f>
        <v/>
      </c>
    </row>
    <row r="29" spans="1:21" ht="12.75" customHeight="1">
      <c r="A29" s="7" t="str">
        <f>+System10!A29</f>
        <v>spodný profil:</v>
      </c>
      <c r="B29" s="16">
        <f>+VLOOKUP(N5,data!$C$615:$D$624,2,0)</f>
        <v>163106</v>
      </c>
      <c r="C29" s="25" t="str">
        <f>+VLOOKUP(B29,cennik!$A:$G,2,FALSE)</f>
        <v>SEVROLL Doubler II spodné vedenie 1,7m strie</v>
      </c>
      <c r="D29" s="17">
        <v>1</v>
      </c>
      <c r="E29" s="92">
        <f>+VLOOKUP(B29,cennik!$A:$G,3,FALSE)</f>
        <v>15.83633</v>
      </c>
      <c r="F29" s="92">
        <f t="shared" si="1"/>
        <v>15.83633</v>
      </c>
      <c r="G29" s="93">
        <f t="shared" si="2"/>
        <v>15.83633</v>
      </c>
      <c r="H29" s="6" t="str">
        <f>cennik!$B$2</f>
        <v>EUR</v>
      </c>
      <c r="I29" s="483" t="str">
        <f>IFERROR(IF((VLOOKUP(B29,cennik!A:L,12,0))="O",texty!$A$250,""),"")</f>
        <v>Na objednávku</v>
      </c>
      <c r="J29" s="196">
        <f>IF(D29&gt;0,IF(VLOOKUP(B29,cennik!A:L,12,FALSE)="O",1,""),"")</f>
        <v>1</v>
      </c>
      <c r="K29" s="6" t="s">
        <v>656</v>
      </c>
      <c r="L29" s="5" t="str">
        <f>IF(L24=0,IF(L25=0,K26,K25),K24)</f>
        <v xml:space="preserve">3000-strieborná </v>
      </c>
      <c r="M29" s="165">
        <f>IF(L29=K24,L24,IF(L29=K25,L25,IF(L29=K26,L26,"chyba")))</f>
        <v>0</v>
      </c>
      <c r="N29" s="165"/>
      <c r="O29" s="165"/>
      <c r="P29" s="5" t="s">
        <v>691</v>
      </c>
      <c r="Q29" s="5">
        <f>R8+R8+R8</f>
        <v>-219</v>
      </c>
      <c r="R29" s="5" t="str">
        <f>IF(Q29&gt;=D4,IF(SUM(R21:R28)&gt;0,"",1),"")</f>
        <v/>
      </c>
      <c r="S29" s="168" t="str">
        <f>IF(R29=1,3,"")</f>
        <v/>
      </c>
    </row>
    <row r="30" spans="1:21" ht="12.75" customHeight="1">
      <c r="A30" s="7" t="str">
        <f>+System10!$A$30</f>
        <v>krycí profil (maska):</v>
      </c>
      <c r="B30" s="16">
        <f>+VLOOKUP(N5,data!$C$625:$D$634,2,0)</f>
        <v>163122</v>
      </c>
      <c r="C30" s="25" t="str">
        <f>+VLOOKUP(B30,cennik!$A:$G,2,FALSE)</f>
        <v>SEVROLL-MASKA DOUBLER II 1,7 M strieborn</v>
      </c>
      <c r="D30" s="17">
        <v>1</v>
      </c>
      <c r="E30" s="92">
        <f>+VLOOKUP(B30,cennik!$A:$G,3,FALSE)</f>
        <v>5.2064599999999999</v>
      </c>
      <c r="F30" s="92">
        <f t="shared" si="1"/>
        <v>5.2064599999999999</v>
      </c>
      <c r="G30" s="93">
        <f t="shared" si="2"/>
        <v>5.2064599999999999</v>
      </c>
      <c r="H30" s="6" t="str">
        <f>cennik!$B$2</f>
        <v>EUR</v>
      </c>
      <c r="I30" s="483" t="str">
        <f>IFERROR(IF((VLOOKUP(B30,cennik!A:L,12,0))="O",texty!$A$250,""),"")</f>
        <v>Na objednávku</v>
      </c>
      <c r="J30" s="196">
        <f>IF(D30&gt;0,IF(VLOOKUP(B30,cennik!A:L,12,FALSE)="O",1,""),"")</f>
        <v>1</v>
      </c>
      <c r="K30" s="6"/>
      <c r="M30" s="165"/>
      <c r="N30" s="165"/>
      <c r="O30" s="165"/>
      <c r="S30" s="168"/>
    </row>
    <row r="31" spans="1:21" ht="12.75" customHeight="1">
      <c r="A31" s="7" t="str">
        <f>+System10!A31</f>
        <v>horné vozíky (sady)</v>
      </c>
      <c r="B31" s="16">
        <v>229442</v>
      </c>
      <c r="C31" s="25" t="str">
        <f>+VLOOKUP(B31,cennik!$A:$G,2,FALSE)</f>
        <v>SEVROLL Master horný vozík 10mm - 2ks</v>
      </c>
      <c r="D31" s="17">
        <f>IF((D50+D51)&gt;D4,0,D4-(D50+D51))</f>
        <v>3</v>
      </c>
      <c r="E31" s="92">
        <f>+VLOOKUP(B31,cennik!$A:$G,3,FALSE)</f>
        <v>7.5204500000000003</v>
      </c>
      <c r="F31" s="92">
        <f t="shared" si="1"/>
        <v>22.561350000000001</v>
      </c>
      <c r="G31" s="93">
        <f t="shared" si="2"/>
        <v>22.561350000000001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 t="s">
        <v>657</v>
      </c>
      <c r="L31" s="5" t="str">
        <f>IF(L29=K26,"jiné",IF(L29=K24,IF(L25&lt;&gt;0,K25,IF(L26&lt;&gt;0,K26,"jiné")),IF(L26&lt;&gt;0,K26,"jiné")))</f>
        <v>jiné</v>
      </c>
      <c r="M31" s="165">
        <f>IF(L31=K25,L25,IF(L31=K26,L26,IF(L31=K27,L27,0)))</f>
        <v>0</v>
      </c>
      <c r="N31" s="165"/>
      <c r="O31" s="165"/>
      <c r="P31" s="5" t="s">
        <v>658</v>
      </c>
      <c r="Q31" s="5">
        <f>R8+2*S8</f>
        <v>-275</v>
      </c>
      <c r="R31" s="5" t="str">
        <f>IF(Q31&gt;=D4,IF(SUM(R21:R29)&gt;0,"",1),"")</f>
        <v/>
      </c>
      <c r="S31" s="168" t="str">
        <f>IF(R31=1,1,"")</f>
        <v/>
      </c>
      <c r="T31" s="168" t="str">
        <f>IF(R31=1,2,"")</f>
        <v/>
      </c>
    </row>
    <row r="32" spans="1:21" ht="12.75" customHeight="1">
      <c r="A32" s="7" t="str">
        <f>+System10!A32</f>
        <v>spodné vozíky (sada)</v>
      </c>
      <c r="B32" s="16"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1"/>
        <v>18.58419</v>
      </c>
      <c r="G32" s="93">
        <f t="shared" si="2"/>
        <v>18.58419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L32" s="165"/>
      <c r="M32" s="165"/>
      <c r="N32" s="165"/>
      <c r="O32" s="165"/>
      <c r="P32" s="5" t="s">
        <v>692</v>
      </c>
      <c r="Q32" s="5">
        <f>S8+S8+S8</f>
        <v>-303</v>
      </c>
      <c r="R32" s="5" t="str">
        <f>IF(Q32&gt;=D4,IF(SUM(R21:R31)&gt;0,"",1),"")</f>
        <v/>
      </c>
      <c r="T32" s="168" t="str">
        <f>IF(R32=1,3,"")</f>
        <v/>
      </c>
    </row>
    <row r="33" spans="1:21" ht="12.75" customHeight="1">
      <c r="A33" s="7" t="str">
        <f>+System10!A33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1"/>
        <v>0</v>
      </c>
      <c r="G33" s="93">
        <f t="shared" si="2"/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</row>
    <row r="34" spans="1:21" ht="12.75" customHeight="1">
      <c r="A34" s="7" t="str">
        <f>+System10!A34</f>
        <v>úchytková lišta</v>
      </c>
      <c r="B34" s="16">
        <f>IF(B12&gt;2700, VLOOKUP(O7,data!$C$439:$D$440,2,0),IF(B12&lt;1501, VLOOKUP(O7,data!$C$439:$D$440,2,0),IF(B12&gt;1347, VLOOKUP(O7,data!$C$437:$D$438,2,0), VLOOKUP(O7,data!$C$437:$D$438,2,0))))</f>
        <v>100105</v>
      </c>
      <c r="C34" s="25" t="str">
        <f>+VLOOKUP(B34,cennik!$A:$G,2,FALSE)</f>
        <v>SEVROLL Master úch.lišta 3m strieborná</v>
      </c>
      <c r="D34" s="17">
        <f>IF(B12&lt;=1533,D4*2/2,D4*2)</f>
        <v>3</v>
      </c>
      <c r="E34" s="92">
        <f>+VLOOKUP(B34,cennik!$A:$G,3,FALSE)</f>
        <v>30.17821</v>
      </c>
      <c r="F34" s="92">
        <f t="shared" si="1"/>
        <v>90.534629999999993</v>
      </c>
      <c r="G34" s="93">
        <f t="shared" si="2"/>
        <v>90.534629999999993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6"/>
    </row>
    <row r="35" spans="1:21" ht="12.75" customHeight="1">
      <c r="A35" s="7" t="str">
        <f>+System10!A35</f>
        <v>spojovacia skrutka</v>
      </c>
      <c r="B35" s="6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>+E35*D35</f>
        <v>1.7354400000000001</v>
      </c>
      <c r="G35" s="93">
        <f>+F35*(100-$G$26)/100</f>
        <v>1.7354400000000001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3"/>
    </row>
    <row r="36" spans="1:21" ht="12.75" customHeight="1">
      <c r="A36" s="7" t="str">
        <f>+System10!A36</f>
        <v>horný profil rámu (vodiaca lišta)</v>
      </c>
      <c r="B36" s="16">
        <f>+VLOOKUP(L29,data!C262:D276,2,0)</f>
        <v>89234</v>
      </c>
      <c r="C36" s="25" t="str">
        <f>+VLOOKUP(B36,cennik!$A:$G,2,FALSE)</f>
        <v>SEVROLL-208 VOD.LIŠTA HOR 3M STRIEBOR.</v>
      </c>
      <c r="D36" s="65">
        <f>M29</f>
        <v>0</v>
      </c>
      <c r="E36" s="92">
        <f>+VLOOKUP(B36,cennik!$A:$G,3,FALSE)</f>
        <v>17.05725</v>
      </c>
      <c r="F36" s="92">
        <f t="shared" si="1"/>
        <v>0</v>
      </c>
      <c r="G36" s="93">
        <f t="shared" si="2"/>
        <v>0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>
        <f>+System10!L22</f>
        <v>0</v>
      </c>
    </row>
    <row r="37" spans="1:21" ht="12.75" customHeight="1">
      <c r="A37" s="7" t="str">
        <f>+System10!A37</f>
        <v>horný profil rámu (vodiaca lišta)</v>
      </c>
      <c r="B37" s="16" t="str">
        <f>IF(L31&lt;&gt;"jiné",+VLOOKUP(L31,data!C261:D275,2,0),"")</f>
        <v/>
      </c>
      <c r="C37" s="25" t="str">
        <f>IF(L31&lt;&gt;"jiné",+VLOOKUP(B37,cennik!$A:$G,2,FALSE),texty!$A$2)</f>
        <v>druhá lišta nieje potrebná</v>
      </c>
      <c r="D37" s="65">
        <f>M31</f>
        <v>0</v>
      </c>
      <c r="E37" s="92">
        <f>IF(L31&lt;&gt;"jiné",+VLOOKUP(B37,cennik!$A:$G,3,FALSE),0)</f>
        <v>0</v>
      </c>
      <c r="F37" s="92">
        <f>+E37*D37</f>
        <v>0</v>
      </c>
      <c r="G37" s="93">
        <f>+F37*(100-$G$26)/100</f>
        <v>0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3"/>
    </row>
    <row r="38" spans="1:21" ht="12.75" customHeight="1">
      <c r="A38" s="7" t="str">
        <f>+System10!A38</f>
        <v>horizontálny spodný profil rámu</v>
      </c>
      <c r="B38" s="6">
        <f>+VLOOKUP(L29,data!$C$315:$D$326,2,0)</f>
        <v>89224</v>
      </c>
      <c r="C38" s="25" t="str">
        <f>+VLOOKUP(B38,cennik!$A:$G,2,FALSE)</f>
        <v>SEVROLL spodná krycia lišta 3m strieborná</v>
      </c>
      <c r="D38" s="65">
        <f>M29</f>
        <v>0</v>
      </c>
      <c r="E38" s="92">
        <f>+VLOOKUP(B38,cennik!$A:$G,3,FALSE)</f>
        <v>28.03295</v>
      </c>
      <c r="F38" s="92">
        <f t="shared" si="1"/>
        <v>0</v>
      </c>
      <c r="G38" s="93">
        <f t="shared" si="2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 t="str">
        <f>+System10!L24</f>
        <v xml:space="preserve">1700-strieborná </v>
      </c>
    </row>
    <row r="39" spans="1:21" ht="12.75" customHeight="1">
      <c r="A39" s="7" t="str">
        <f>+System10!A39</f>
        <v>horizontálny spodný profil rámu</v>
      </c>
      <c r="B39" s="16" t="str">
        <f>IF(L31&lt;&gt;"jiné",+VLOOKUP(L31,data!$C$315:$D$326,2,0),"")</f>
        <v/>
      </c>
      <c r="C39" s="25" t="str">
        <f>IF(L31&lt;&gt;"jiné",+VLOOKUP(B39,cennik!$A:$G,2,FALSE),texty!$A$2)</f>
        <v>druhá lišta nieje potrebná</v>
      </c>
      <c r="D39" s="65">
        <f>M31</f>
        <v>0</v>
      </c>
      <c r="E39" s="92">
        <f>IF(L31&lt;&gt;"jiné",+VLOOKUP(B39,cennik!$A:$G,3,FALSE),0)</f>
        <v>0</v>
      </c>
      <c r="F39" s="92">
        <f>+E39*D39</f>
        <v>0</v>
      </c>
      <c r="G39" s="93">
        <f>+F39*(100-$G$26)/100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21" ht="12.75" customHeight="1">
      <c r="E40" s="95"/>
      <c r="F40" s="95"/>
      <c r="G40" s="95"/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21" ht="12.75" customHeight="1">
      <c r="A41" s="14" t="str">
        <f>texty!$A$66</f>
        <v>Voliteľné príslušenstvo:</v>
      </c>
      <c r="B41" s="15"/>
      <c r="D41" s="26" t="str">
        <f>System10!$D$41</f>
        <v>zadajte počet:</v>
      </c>
      <c r="E41" s="96"/>
      <c r="F41" s="96"/>
      <c r="G41" s="95"/>
      <c r="I41" s="483" t="str">
        <f>IFERROR(IF((VLOOKUP(B41,cennik!A:L,12,0))="O",texty!$A$250,""),"")</f>
        <v/>
      </c>
      <c r="J41" s="196"/>
      <c r="K41" s="3"/>
    </row>
    <row r="42" spans="1:21" ht="12.75" customHeight="1">
      <c r="A42" s="7" t="str">
        <f>texty!$A$88</f>
        <v>pozicionér do horného vedenia</v>
      </c>
      <c r="B42" s="15">
        <v>298035</v>
      </c>
      <c r="C42" s="25" t="str">
        <f>+VLOOKUP(B42,cennik!$A:$G,2,FALSE)</f>
        <v>SEVROLL Fix pozicionér pre horný vozík tran.</v>
      </c>
      <c r="D42" s="29"/>
      <c r="E42" s="92">
        <f>+VLOOKUP(B42,cennik!$A:$G,3,FALSE)</f>
        <v>1.0605800000000001</v>
      </c>
      <c r="F42" s="97">
        <f t="shared" ref="F42:F53" si="3">+CEILING(D42,1)*E42</f>
        <v>0</v>
      </c>
      <c r="G42" s="93">
        <f t="shared" ref="G42:G55" si="4">+F42*(100-$G$26)/100</f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/>
      <c r="K42" s="3"/>
    </row>
    <row r="43" spans="1:21" ht="12.75" customHeight="1">
      <c r="A43" s="7" t="str">
        <f>+System10!A43</f>
        <v xml:space="preserve">pozicionér </v>
      </c>
      <c r="B43" s="16">
        <v>89063</v>
      </c>
      <c r="C43" s="25" t="str">
        <f>+VLOOKUP(B43,cennik!$A:$G,2,FALSE)</f>
        <v>SEV - pozicionér HI-TEC</v>
      </c>
      <c r="D43" s="29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6"/>
      <c r="L43" s="165"/>
      <c r="M43" s="165"/>
      <c r="N43" s="165"/>
      <c r="O43" s="165"/>
      <c r="P43" s="5" t="s">
        <v>659</v>
      </c>
      <c r="Q43" s="5">
        <f>R8+2*T8</f>
        <v>-331</v>
      </c>
      <c r="R43" s="5" t="str">
        <f>IF(Q43&gt;=D4,IF(SUM(R21:R32)&gt;0,"",1),"")</f>
        <v/>
      </c>
      <c r="S43" s="168" t="str">
        <f>IF(R43=1,1,"")</f>
        <v/>
      </c>
      <c r="U43" s="168" t="str">
        <f>IF(R43=1,2,"")</f>
        <v/>
      </c>
    </row>
    <row r="44" spans="1:21" ht="12.75" customHeight="1">
      <c r="A44" s="7" t="str">
        <f>texty!A179</f>
        <v>skrutka k spodnémi vedeniu</v>
      </c>
      <c r="B44" s="15">
        <v>98019</v>
      </c>
      <c r="C44" s="25" t="str">
        <f>+VLOOKUP(B44,cennik!$A:$G,2,FALSE)</f>
        <v>SEVROLL-skrutka 2,5*18MM</v>
      </c>
      <c r="D44" s="29"/>
      <c r="E44" s="92">
        <f>+VLOOKUP(B44,cennik!$A:$G,3,FALSE)</f>
        <v>2.8680000000000001E-2</v>
      </c>
      <c r="F44" s="97">
        <f t="shared" si="3"/>
        <v>0</v>
      </c>
      <c r="G44" s="93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3"/>
    </row>
    <row r="45" spans="1:21" ht="12.75" customHeight="1">
      <c r="A45" s="436" t="str">
        <f>texty!$A$228</f>
        <v> Tlmič dorazu MINI do 25 kg (pár)</v>
      </c>
      <c r="B45" s="16">
        <v>318662</v>
      </c>
      <c r="C45" s="25" t="str">
        <f>+VLOOKUP(B45,cennik!$A:$G,2,FALSE)</f>
        <v>SEVROLL tlmič dorazu Mini SV25 - 2ks</v>
      </c>
      <c r="D45" s="29"/>
      <c r="E45" s="92">
        <f>+VLOOKUP(B45,cennik!$A:$G,3,FALSE)</f>
        <v>22.368510000000001</v>
      </c>
      <c r="F45" s="97">
        <f>+CEILING(D45,1)*E45</f>
        <v>0</v>
      </c>
      <c r="G45" s="93">
        <f t="shared" si="4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3"/>
    </row>
    <row r="46" spans="1:21" ht="12.75" customHeight="1">
      <c r="A46" s="436" t="str">
        <f>texty!$A$229</f>
        <v> Tlmič dorazu MINI do 40 kg (pár)</v>
      </c>
      <c r="B46" s="24">
        <v>283956</v>
      </c>
      <c r="C46" s="25" t="str">
        <f>+VLOOKUP(B46,cennik!$A:$G,2,FALSE)</f>
        <v>SEVROLL tlmič dorazu Mini SV40 - 2ks</v>
      </c>
      <c r="D46" s="29"/>
      <c r="E46" s="92">
        <f>+VLOOKUP(B46,cennik!$A:$G,3,FALSE)</f>
        <v>22.368510000000001</v>
      </c>
      <c r="F46" s="97">
        <f>+CEILING(D46,1)*E46</f>
        <v>0</v>
      </c>
      <c r="G46" s="93">
        <f t="shared" si="4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436" t="str">
        <f>texty!$A$230</f>
        <v> Tlmič dorazu MINI do 60 kg (pár)</v>
      </c>
      <c r="B47" s="24">
        <v>351743</v>
      </c>
      <c r="C47" s="25" t="str">
        <f>+VLOOKUP(B47,cennik!$A:$G,2,FALSE)</f>
        <v/>
      </c>
      <c r="D47" s="29"/>
      <c r="E47" s="92">
        <f>+VLOOKUP(B47,cennik!$A:$G,3,FALSE)</f>
        <v>22.368510000000001</v>
      </c>
      <c r="F47" s="97">
        <f>+CEILING(D47,1)*E47</f>
        <v>0</v>
      </c>
      <c r="G47" s="93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3"/>
    </row>
    <row r="48" spans="1:21" ht="12.75" customHeight="1">
      <c r="A48" s="436" t="str">
        <f>texty!$A$231</f>
        <v> Tlmič pre stredné krídlo do 25 kg</v>
      </c>
      <c r="B48" s="24">
        <v>318663</v>
      </c>
      <c r="C48" s="25" t="str">
        <f>+VLOOKUP(B48,cennik!$A:$G,2,FALSE)</f>
        <v>SEVROLL tlmič Central 10/18mm obojst. 25 kg</v>
      </c>
      <c r="D48" s="29"/>
      <c r="E48" s="92">
        <f>+VLOOKUP(B48,cennik!$A:$G,3,FALSE)</f>
        <v>47.918750000000003</v>
      </c>
      <c r="F48" s="97">
        <f>+CEILING(D48,1)*E48</f>
        <v>0</v>
      </c>
      <c r="G48" s="93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3"/>
    </row>
    <row r="49" spans="1:11" ht="12.75" customHeight="1">
      <c r="A49" s="436" t="str">
        <f>texty!$A$232</f>
        <v> Tlmič pre stredné krídlo do 40 kg</v>
      </c>
      <c r="B49" s="24">
        <v>283955</v>
      </c>
      <c r="C49" s="25" t="str">
        <f>+VLOOKUP(B49,cennik!$A:$G,2,FALSE)</f>
        <v>SEVROLL tlmič Central 10/18mm obojst.25-40kg</v>
      </c>
      <c r="D49" s="29"/>
      <c r="E49" s="92">
        <f>+VLOOKUP(B49,cennik!$A:$G,3,FALSE)</f>
        <v>47.918750000000003</v>
      </c>
      <c r="F49" s="97">
        <f>+CEILING(D49,1)*E49</f>
        <v>0</v>
      </c>
      <c r="G49" s="93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3"/>
    </row>
    <row r="50" spans="1:11" ht="12.75" customHeight="1">
      <c r="A50" s="7" t="str">
        <f>System10!A49</f>
        <v>tlmič dorazu (pár) 25 kg</v>
      </c>
      <c r="B50" s="24">
        <v>227185</v>
      </c>
      <c r="C50" s="25" t="str">
        <f>+VLOOKUP(B50,cennik!$A:$G,2,FALSE)</f>
        <v>K-SEVROLL tlmič dorazu 10/18mm 14-25kg(L+P)</v>
      </c>
      <c r="D50" s="29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1" ht="12.75" customHeight="1">
      <c r="A51" s="7" t="str">
        <f>texty!$A$98</f>
        <v>tlmič dorazu (pár) 50 kg</v>
      </c>
      <c r="B51" s="24">
        <v>227187</v>
      </c>
      <c r="C51" s="25" t="str">
        <f>+VLOOKUP(B51,cennik!$A:$G,2,FALSE)</f>
        <v>K-SEVROLL tlmič dorazu 10/18mm 25-50kg(L+P)</v>
      </c>
      <c r="D51" s="29"/>
      <c r="E51" s="92">
        <f>+VLOOKUP(B51,cennik!$A:$G,3,FALSE)</f>
        <v>0</v>
      </c>
      <c r="F51" s="97">
        <f t="shared" si="3"/>
        <v>0</v>
      </c>
      <c r="G51" s="93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</row>
    <row r="52" spans="1:11" ht="12.75" customHeight="1">
      <c r="A52" s="7" t="str">
        <f>texty!$A$100</f>
        <v>spojovací profil H10-3metre</v>
      </c>
      <c r="B52" s="16">
        <f>+VLOOKUP(O7,data!C390:D392,2,0)</f>
        <v>89236</v>
      </c>
      <c r="C52" s="25" t="str">
        <f>+VLOOKUP(B52,cennik!$A:$G,2,FALSE)</f>
        <v>SEVROLL- SPOJ.LIŠTA "H10" 3M STR.</v>
      </c>
      <c r="D52" s="29"/>
      <c r="E52" s="92">
        <f>+VLOOKUP(B52,cennik!$A:$G,3,FALSE)</f>
        <v>17.52046</v>
      </c>
      <c r="F52" s="97">
        <f t="shared" si="3"/>
        <v>0</v>
      </c>
      <c r="G52" s="93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</row>
    <row r="53" spans="1:11" ht="12.75" customHeight="1">
      <c r="A53" s="7" t="str">
        <f>texty!$A$101</f>
        <v>spojovací profil H30-3metre</v>
      </c>
      <c r="B53" s="17">
        <f>+VLOOKUP(O7,data!C399:D401,2,0)</f>
        <v>89069</v>
      </c>
      <c r="C53" s="25" t="str">
        <f>+VLOOKUP(B53,cennik!$A:$G,2,FALSE)</f>
        <v>SEVROLL-253S-SPOJ.LIŠTA H-30mm STR 3m</v>
      </c>
      <c r="D53" s="29"/>
      <c r="E53" s="92">
        <f>+VLOOKUP(B53,cennik!$A:$G,3,FALSE)</f>
        <v>26.594049999999999</v>
      </c>
      <c r="F53" s="97">
        <f t="shared" si="3"/>
        <v>0</v>
      </c>
      <c r="G53" s="93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</row>
    <row r="54" spans="1:11" ht="12.75" customHeight="1">
      <c r="A54" s="436" t="str">
        <f>texty!A240</f>
        <v>zámok posuvných dverí</v>
      </c>
      <c r="B54" s="17">
        <v>216363</v>
      </c>
      <c r="C54" s="25" t="str">
        <f>+VLOOKUP(B54,cennik!$A:$G,2,FALSE)</f>
        <v>SEVROLL zámok na posuvné dvere 18 mm</v>
      </c>
      <c r="D54" s="30"/>
      <c r="E54" s="92">
        <f>+VLOOKUP(B54,cennik!$A:$G,3,FALSE)</f>
        <v>17.186150000000001</v>
      </c>
      <c r="F54" s="92">
        <f>+E54*D54</f>
        <v>0</v>
      </c>
      <c r="G54" s="93">
        <f t="shared" si="4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A55" s="7" t="str">
        <f>texty!$A$92</f>
        <v>spojovacia skrutka</v>
      </c>
      <c r="B55" s="16">
        <v>89244</v>
      </c>
      <c r="C55" s="25" t="str">
        <f>+VLOOKUP(B55,cennik!$A:$G,2,FALSE)</f>
        <v>SEVROLL šroubovrut 6,3*32 -Sevroll a Simple</v>
      </c>
      <c r="D55" s="30"/>
      <c r="E55" s="92">
        <f>+VLOOKUP(B55,cennik!$A:$G,3,FALSE)</f>
        <v>0.14462</v>
      </c>
      <c r="F55" s="92">
        <f>+E55*D55</f>
        <v>0</v>
      </c>
      <c r="G55" s="93">
        <f t="shared" si="4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6"/>
    </row>
    <row r="56" spans="1:11" ht="12.75" customHeight="1">
      <c r="A56" s="7"/>
      <c r="B56" s="16"/>
      <c r="C56" s="25"/>
      <c r="D56" s="92"/>
      <c r="E56" s="92"/>
      <c r="F56" s="92"/>
      <c r="G56" s="93"/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6"/>
    </row>
    <row r="57" spans="1:11" ht="12.75" customHeight="1">
      <c r="A57" s="41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7" s="42"/>
      <c r="C57" s="43"/>
      <c r="D57" s="44"/>
      <c r="E57" s="98"/>
      <c r="F57" s="98"/>
      <c r="G57" s="99"/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6"/>
    </row>
    <row r="58" spans="1:11" ht="12.75" customHeight="1">
      <c r="C58" s="40" t="str">
        <f>texty!$A$10</f>
        <v>Potrebná dĺžka tesnenia pri celkovom presklení (nutné objednať celé metre)</v>
      </c>
      <c r="D58" s="39">
        <f>CEILING(((B9+C9)*2/1000*D4),1)</f>
        <v>0</v>
      </c>
      <c r="E58" s="95"/>
      <c r="F58" s="95"/>
      <c r="G58" s="95"/>
      <c r="I58" s="483" t="str">
        <f>IFERROR(IF((VLOOKUP(B58,cennik!A:L,12,0))="O",texty!$A$250,""),"")</f>
        <v/>
      </c>
      <c r="J58" s="196"/>
      <c r="K58" s="6"/>
    </row>
    <row r="59" spans="1:11" ht="12.75" customHeight="1">
      <c r="A59" s="48" t="str">
        <f>texty!$A$12</f>
        <v>(pri kombináciach s H profilmi je nutné pripočítať potrebnú dĺžku - tesnenie musí byť po celom odvode každého skla</v>
      </c>
      <c r="B59" s="46"/>
      <c r="C59" s="47"/>
      <c r="D59" s="46"/>
      <c r="E59" s="100"/>
      <c r="F59" s="100"/>
      <c r="G59" s="100"/>
      <c r="I59" s="483" t="str">
        <f>IFERROR(IF((VLOOKUP(B59,cennik!A:L,12,0))="O",texty!$A$250,""),"")</f>
        <v/>
      </c>
      <c r="J59" s="196" t="str">
        <f>IF(D59&gt;0,IF(VLOOKUP(B59,cennik!A:L,12,FALSE)="O",1,""),"")</f>
        <v/>
      </c>
      <c r="K59" s="6"/>
    </row>
    <row r="60" spans="1:11" ht="12.75" customHeight="1">
      <c r="A60" s="7" t="str">
        <f>System10!A59</f>
        <v>tesnenie na sklo 4mm</v>
      </c>
      <c r="B60" s="17">
        <v>89238</v>
      </c>
      <c r="C60" s="25" t="str">
        <f>+VLOOKUP(B60,cennik!$A:$G,2,FALSE)</f>
        <v>SEVROLL tesnenie na sklo 10/4mm</v>
      </c>
      <c r="D60" s="45"/>
      <c r="E60" s="92">
        <f>+VLOOKUP(B60,cennik!$A:$G,3,FALSE)</f>
        <v>0.89917999999999998</v>
      </c>
      <c r="F60" s="97">
        <f>+CEILING(D60,1)*E60</f>
        <v>0</v>
      </c>
      <c r="G60" s="93">
        <f>+F60*(100-$G$26)/100</f>
        <v>0</v>
      </c>
      <c r="H60" s="6" t="str">
        <f>cennik!$B$2</f>
        <v>EUR</v>
      </c>
      <c r="I60" s="483" t="str">
        <f>IFERROR(IF((VLOOKUP(B60,cennik!A:L,12,0))="O",texty!$A$250,""),"")</f>
        <v/>
      </c>
      <c r="J60" s="196" t="str">
        <f>IF(D60&gt;0,IF(VLOOKUP(B60,cennik!A:L,12,FALSE)="O",1,""),"")</f>
        <v/>
      </c>
      <c r="K60" s="6"/>
    </row>
    <row r="61" spans="1:11" ht="12.75" customHeight="1">
      <c r="A61" s="7" t="str">
        <f>texty!A103</f>
        <v>tesnenie na sklo 4,5 mm</v>
      </c>
      <c r="B61" s="17">
        <v>135164</v>
      </c>
      <c r="C61" s="25" t="str">
        <f>+VLOOKUP(B61,cennik!$A:$G,2,FALSE)</f>
        <v>SEVROLL- TESNENIE NA SKLO 4,5mm</v>
      </c>
      <c r="D61" s="45"/>
      <c r="E61" s="92">
        <f>+VLOOKUP(B61,cennik!$A:$G,3,FALSE)</f>
        <v>0.79542999999999997</v>
      </c>
      <c r="F61" s="97">
        <f>+CEILING(D61,1)*E61</f>
        <v>0</v>
      </c>
      <c r="G61" s="93">
        <f>+F61*(100-$G$26)/100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96" t="str">
        <f>IF(D61&gt;0,IF(VLOOKUP(B61,cennik!A:L,12,FALSE)="O",1,""),"")</f>
        <v/>
      </c>
      <c r="K61" s="3"/>
    </row>
    <row r="62" spans="1:11" ht="12.75" customHeight="1">
      <c r="A62" s="7" t="str">
        <f>System10!A61</f>
        <v>tesnenie na sklo 6mm</v>
      </c>
      <c r="B62" s="17">
        <v>89243</v>
      </c>
      <c r="C62" s="25" t="str">
        <f>+VLOOKUP(B62,cennik!$A:$G,2,FALSE)</f>
        <v>SEVROLL tesnenie na sklo 10/6mm</v>
      </c>
      <c r="D62" s="45"/>
      <c r="E62" s="92">
        <f>+VLOOKUP(B62,cennik!$A:$G,3,FALSE)</f>
        <v>0.89917999999999998</v>
      </c>
      <c r="F62" s="97">
        <f>+CEILING(D62,1)*E62</f>
        <v>0</v>
      </c>
      <c r="G62" s="93">
        <f>+F62*(100-$G$26)/100</f>
        <v>0</v>
      </c>
      <c r="H62" s="6" t="str">
        <f>cennik!$B$2</f>
        <v>EUR</v>
      </c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6"/>
    </row>
    <row r="63" spans="1:11" ht="16">
      <c r="A63" s="285" t="str">
        <f>texty!$A$190</f>
        <v>Ďalšie príslušenstvo</v>
      </c>
      <c r="E63" s="95"/>
      <c r="F63" s="95"/>
      <c r="G63" s="95"/>
      <c r="I63" s="483" t="str">
        <f>IFERROR(IF((VLOOKUP(B63,cennik!A:L,12,0))="O",texty!$A$250,""),"")</f>
        <v/>
      </c>
      <c r="J63" s="196" t="str">
        <f>IF(D63&gt;0,IF(VLOOKUP(B63,cennik!A:L,12,FALSE)="O",1,""),"")</f>
        <v/>
      </c>
      <c r="K63" s="6"/>
    </row>
    <row r="64" spans="1:11" ht="12.75" customHeight="1">
      <c r="A64" s="285" t="str">
        <f>texty!$A$244</f>
        <v>Technický nákres tohoto systému</v>
      </c>
      <c r="B64" s="172">
        <v>129677</v>
      </c>
      <c r="C64" s="172" t="str">
        <f>VLOOKUP(B64,cennik!A:C,2,0)</f>
        <v>SEVROLL-MONT.PRÍPRAVOK NA DTD 10mm MALÝ</v>
      </c>
      <c r="D64" s="45"/>
      <c r="E64" s="92">
        <f>+VLOOKUP(B64,cennik!$A:$G,3,FALSE)</f>
        <v>5.60419</v>
      </c>
      <c r="F64" s="97">
        <f>+CEILING(D64,1)*E64</f>
        <v>0</v>
      </c>
      <c r="G64" s="93">
        <f>F64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96" t="str">
        <f>IF(D64&gt;0,IF(VLOOKUP(B64,cennik!A:L,12,FALSE)="O",1,""),"")</f>
        <v/>
      </c>
      <c r="K64" s="6"/>
    </row>
    <row r="65" spans="1:13" ht="12.75" customHeight="1">
      <c r="B65" s="172">
        <v>128842</v>
      </c>
      <c r="C65" s="172" t="str">
        <f>VLOOKUP(B65,cennik!A:C,2,0)</f>
        <v>SEVROLL-VRTÁK STUPŇOVITÝ 6,5/9,5mm</v>
      </c>
      <c r="D65" s="45"/>
      <c r="E65" s="92">
        <f>+VLOOKUP(B65,cennik!$A:$G,3,FALSE)</f>
        <v>23.986910000000002</v>
      </c>
      <c r="F65" s="97">
        <f>+CEILING(D65,1)*E65</f>
        <v>0</v>
      </c>
      <c r="G65" s="93">
        <f>F65</f>
        <v>0</v>
      </c>
      <c r="H65" s="6" t="str">
        <f>cennik!$B$2</f>
        <v>EUR</v>
      </c>
      <c r="I65" s="483" t="str">
        <f>IFERROR(IF((VLOOKUP(B65,cennik!A:L,12,0))="O",texty!$A$250,""),"")</f>
        <v/>
      </c>
      <c r="J65" s="196" t="str">
        <f>IF(D65&gt;0,IF(VLOOKUP(B65,cennik!A:L,12,FALSE)="O",1,""),"")</f>
        <v/>
      </c>
      <c r="K65" s="6"/>
    </row>
    <row r="66" spans="1:13" ht="12.75" customHeight="1">
      <c r="A66" s="655" t="str">
        <f>IF(SUM(D50:D51)&gt;0,IF(C7&lt;(B4/3),texty!$A$212,""),"")</f>
        <v/>
      </c>
      <c r="B66" s="655"/>
      <c r="C66" s="655"/>
      <c r="D66" s="655"/>
      <c r="E66" s="655"/>
      <c r="F66" s="655"/>
      <c r="G66" s="655"/>
      <c r="H66" s="655"/>
      <c r="I66" s="655"/>
      <c r="J66" s="135"/>
    </row>
    <row r="67" spans="1:13" ht="12.75" customHeight="1">
      <c r="B67" s="8"/>
      <c r="C67" s="8"/>
      <c r="D67" s="77" t="str">
        <f>texty!$A$15</f>
        <v>CELKOM  (bez DPH)</v>
      </c>
      <c r="E67" s="100"/>
      <c r="F67" s="102">
        <f>SUM(F28:F65)</f>
        <v>186.73366000000001</v>
      </c>
      <c r="G67" s="102">
        <f>SUM(G27:G65)</f>
        <v>186.73366000000001</v>
      </c>
      <c r="H67" s="6" t="str">
        <f>cennik!$B$2</f>
        <v>EUR</v>
      </c>
      <c r="I67" s="186"/>
      <c r="J67" s="186"/>
      <c r="K67" s="5" t="str">
        <f>texty!A128</f>
        <v xml:space="preserve">strieborná </v>
      </c>
    </row>
    <row r="68" spans="1:13" ht="12.75" customHeight="1">
      <c r="A68" s="76" t="str">
        <f>System10!$A$67</f>
        <v>Vaša poznámka:</v>
      </c>
      <c r="B68" s="665"/>
      <c r="C68" s="666"/>
      <c r="D68" s="666"/>
      <c r="E68" s="666"/>
      <c r="F68" s="666"/>
      <c r="G68" s="666"/>
      <c r="K68" s="5" t="str">
        <f>texty!A130</f>
        <v>oliva</v>
      </c>
    </row>
    <row r="69" spans="1:13" ht="12.75" customHeight="1">
      <c r="A69" s="657">
        <f>profil!$U$15</f>
        <v>0</v>
      </c>
      <c r="B69" s="658"/>
      <c r="C69" s="658"/>
      <c r="D69" s="658"/>
      <c r="E69" s="658"/>
      <c r="F69" s="658"/>
      <c r="G69" s="658"/>
    </row>
    <row r="70" spans="1:13" ht="12.75" customHeight="1">
      <c r="A70" s="659" t="str">
        <f>IF(M70=1,texty!$A$215,IF(J70&gt;0,texty!$A$214,""))</f>
        <v>některé položky sú na objednávku, počítajte prosím s dodaciou  lehotou  do 5 týždnov</v>
      </c>
      <c r="B70" s="659"/>
      <c r="C70" s="659"/>
      <c r="D70" s="659"/>
      <c r="E70" s="659"/>
      <c r="F70" s="659"/>
      <c r="G70" s="659"/>
      <c r="J70" s="6">
        <f>SUM(J28:J65)</f>
        <v>3</v>
      </c>
      <c r="M70" s="5">
        <f>IF(ISERROR(J70),1,0)</f>
        <v>0</v>
      </c>
    </row>
    <row r="71" spans="1:13" ht="12.75" customHeight="1"/>
    <row r="83" spans="1:1" ht="12.75" hidden="1" customHeight="1">
      <c r="A83" s="5">
        <v>3</v>
      </c>
    </row>
    <row r="84" spans="1:1" ht="12.75" customHeight="1"/>
    <row r="85" spans="1:1" ht="12.75" customHeight="1"/>
  </sheetData>
  <sheetProtection algorithmName="SHA-512" hashValue="ghIAyy4mB57B5BiDEreyki/jz3mQyW6oUXs8t9uR0X1urZQFB8W0BaUmaxlEebzdmoutfdrSqFcH/3SmySPN5w==" saltValue="qyeZ+iZ/e6ClSl4jKHbX5g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D6">
    <cfRule type="expression" dxfId="185" priority="5">
      <formula>$D$4=4</formula>
    </cfRule>
    <cfRule type="expression" dxfId="184" priority="6">
      <formula>$D$4&lt;&gt;4</formula>
    </cfRule>
  </conditionalFormatting>
  <conditionalFormatting sqref="F4:I6">
    <cfRule type="expression" dxfId="183" priority="4">
      <formula>$D$4=4</formula>
    </cfRule>
  </conditionalFormatting>
  <conditionalFormatting sqref="A14">
    <cfRule type="expression" dxfId="182" priority="3">
      <formula>SUM($D$48:$D$49)&gt;0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1AE08AD-D0B5-4FBE-86C0-551FA75F31C1}">
            <xm:f>$I28=texty!$A$250</xm:f>
            <x14:dxf>
              <font>
                <color rgb="FFFF0000"/>
              </font>
            </x14:dxf>
          </x14:cfRule>
          <xm:sqref>I28:I65</xm:sqref>
        </x14:conditionalFormatting>
        <x14:conditionalFormatting xmlns:xm="http://schemas.microsoft.com/office/excel/2006/main">
          <x14:cfRule type="expression" priority="1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8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9" style="5" customWidth="1"/>
    <col min="2" max="2" width="15.83203125" style="5" customWidth="1"/>
    <col min="3" max="3" width="37.5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5.664062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21" width="0" style="5" hidden="1" customWidth="1"/>
    <col min="22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-10</v>
      </c>
    </row>
    <row r="2" spans="1:21" ht="18.75" customHeight="1">
      <c r="A2" s="538" t="s">
        <v>124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",5,".",59)</f>
        <v>katalóg kovania 2018 str. 5.59</v>
      </c>
      <c r="B3" s="434" t="str">
        <f>CONCATENATE(texty!A34," / max.         3 040 mm /")</f>
        <v>výška / max.         3 040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664"/>
      <c r="G4" s="664"/>
      <c r="H4" s="664"/>
      <c r="I4" s="664"/>
      <c r="J4" s="195"/>
      <c r="K4" s="8"/>
      <c r="N4" s="5">
        <f>IF(C4&lt;1701,1700,IF(C4&lt;2351,2350,IF(C4&lt;3001,3000,IF(C4&lt;4051,4050,6000))))</f>
        <v>1700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1700-strieborná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647</v>
      </c>
      <c r="S6" s="645" t="s">
        <v>648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+B4-40</f>
        <v>-40</v>
      </c>
      <c r="C7" s="59">
        <f>+((C4-3+37*(D4-1))/D4+IF(AND(D4=4,D6=2),L1,0))</f>
        <v>23.666666666666668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1700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+System10!A8</f>
        <v>rozmer výplne 10 mm:</v>
      </c>
      <c r="B8" s="57">
        <f>+B7-64</f>
        <v>-104</v>
      </c>
      <c r="C8" s="59">
        <f>+C7-51</f>
        <v>-27.333333333333332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1700-strieborná </v>
      </c>
      <c r="O8" s="21"/>
      <c r="P8" s="5">
        <v>1</v>
      </c>
      <c r="Q8" s="164">
        <f>$C$10+5</f>
        <v>-39.333333333333329</v>
      </c>
      <c r="R8" s="5">
        <f>FLOOR(1700/Q8,1)</f>
        <v>-44</v>
      </c>
      <c r="S8" s="5">
        <f>FLOOR(2350/Q8,1)</f>
        <v>-60</v>
      </c>
      <c r="T8" s="5">
        <f>FLOOR(3000/Q8,1)</f>
        <v>-77</v>
      </c>
    </row>
    <row r="9" spans="1:21" ht="12.75" customHeight="1">
      <c r="A9" s="10" t="str">
        <f>+System10!A9</f>
        <v>rozmer zrkadla / skla</v>
      </c>
      <c r="B9" s="57">
        <f>+B8</f>
        <v>-104</v>
      </c>
      <c r="C9" s="59">
        <f>+C8-4</f>
        <v>-31.333333333333332</v>
      </c>
      <c r="D9" s="8"/>
      <c r="E9" s="8"/>
      <c r="F9" s="50" t="str">
        <f>texty!$A$41</f>
        <v>alebo sklo zabezpečiť ochrannou fóliou</v>
      </c>
      <c r="G9" s="6"/>
      <c r="K9" s="37">
        <f>C10*D4</f>
        <v>-133</v>
      </c>
      <c r="L9" s="36">
        <f>(D4+1)*5</f>
        <v>20</v>
      </c>
      <c r="P9" s="5">
        <v>2</v>
      </c>
      <c r="Q9" s="164">
        <f t="shared" ref="Q9:Q14" si="0">Q8+$C$10+5</f>
        <v>-78.666666666666657</v>
      </c>
      <c r="R9" s="5">
        <f>(1700-C10)*R17</f>
        <v>-1744.3333333333333</v>
      </c>
      <c r="S9" s="5">
        <f>(2350-C10)*S17</f>
        <v>-2394.3333333333335</v>
      </c>
      <c r="T9" s="5">
        <f>(3000-C10)*T17</f>
        <v>-3044.3333333333335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+C7-68</f>
        <v>-44.333333333333329</v>
      </c>
      <c r="D10" s="8"/>
      <c r="E10" s="8"/>
      <c r="F10" s="3" t="str">
        <f>texty!$A$43</f>
        <v>Maximálna hmotnosť krídla je 50 kg</v>
      </c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-117.99999999999999</v>
      </c>
    </row>
    <row r="11" spans="1:21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G11" s="40"/>
      <c r="K11" s="36">
        <f>IF((K9+L9)&lt;1700,1700,IF((K9+L9)&lt;2350,2350,IF((K9+L9)&lt;3000,3000,"jiné")))</f>
        <v>1700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-157.33333333333331</v>
      </c>
    </row>
    <row r="12" spans="1:21" ht="12.75" customHeight="1">
      <c r="A12" s="10" t="str">
        <f>+System10!A12</f>
        <v>úchytková lišta</v>
      </c>
      <c r="B12" s="502">
        <f>+B7</f>
        <v>-40</v>
      </c>
      <c r="C12" s="503"/>
      <c r="D12" s="8"/>
      <c r="E12" s="8"/>
      <c r="F12" s="6"/>
      <c r="G12" s="6"/>
      <c r="K12" s="6">
        <f>C10*(D4-1)+(D4*5)</f>
        <v>-73.666666666666657</v>
      </c>
      <c r="L12" s="5">
        <f>IF(K12&lt;1700,1700,IF(K12&lt;2350,2350,IF(K12&lt;3000,3000,3000)))</f>
        <v>1700</v>
      </c>
      <c r="M12" s="5">
        <f>L12-K12</f>
        <v>1773.6666666666667</v>
      </c>
      <c r="P12" s="5">
        <v>5</v>
      </c>
      <c r="Q12" s="164">
        <f t="shared" si="0"/>
        <v>-196.66666666666663</v>
      </c>
    </row>
    <row r="13" spans="1:21" ht="12.75" customHeight="1">
      <c r="A13" s="147" t="str">
        <f>System10!A13</f>
        <v>Dĺžka tesnenia na sklo na jednom krídle</v>
      </c>
      <c r="B13" s="58"/>
      <c r="C13" s="145">
        <f>ROUND(B8*2+C9*2,0)</f>
        <v>-271</v>
      </c>
      <c r="D13" s="8"/>
      <c r="E13" s="8"/>
      <c r="F13" s="6"/>
      <c r="G13" s="6"/>
      <c r="K13" s="35">
        <f>C10+10</f>
        <v>-34.333333333333329</v>
      </c>
      <c r="L13" s="5">
        <f>IF(M12&gt;=0,IF(K13&lt;1700,1700,IF(K13&lt;2350,2350,IF(K13&lt;3000,3000,"jiné"))),IF((K13+C10)&lt;1700,1700,IF((K13+C10)&lt;2350,2350,IF((K13+C10)&lt;3000,3000,"jiné"))))</f>
        <v>1700</v>
      </c>
      <c r="M13" s="5">
        <f>L13-K13</f>
        <v>1734.3333333333333</v>
      </c>
      <c r="P13" s="5">
        <v>6</v>
      </c>
      <c r="Q13" s="164">
        <f t="shared" si="0"/>
        <v>-235.99999999999994</v>
      </c>
    </row>
    <row r="14" spans="1:21" ht="26">
      <c r="A14" s="644" t="str">
        <f>IF(SUM(D48:D49)&gt;0,texty!A245,"")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6"/>
      <c r="G14" s="6"/>
      <c r="K14" s="6"/>
      <c r="L14" s="5">
        <f>SUM(L12:L13)</f>
        <v>3400</v>
      </c>
      <c r="M14" s="5">
        <f>SUM(M12:M13)</f>
        <v>3508</v>
      </c>
      <c r="P14" s="5">
        <v>7</v>
      </c>
      <c r="Q14" s="164">
        <f t="shared" si="0"/>
        <v>-275.33333333333326</v>
      </c>
    </row>
    <row r="15" spans="1:21" ht="17.25" customHeight="1">
      <c r="A15" s="644"/>
      <c r="B15" s="644"/>
      <c r="C15" s="504"/>
      <c r="D15" s="8"/>
      <c r="E15" s="8"/>
      <c r="F15" s="6"/>
      <c r="G15" s="6"/>
      <c r="K15" s="6"/>
      <c r="Q15" s="164"/>
    </row>
    <row r="16" spans="1:21" ht="13">
      <c r="A16" s="436"/>
      <c r="B16" s="17"/>
      <c r="C16" s="504"/>
      <c r="D16" s="8"/>
      <c r="E16" s="8"/>
      <c r="F16" s="6"/>
      <c r="G16" s="6"/>
      <c r="K16" s="6"/>
      <c r="Q16" s="164"/>
    </row>
    <row r="17" spans="1:21" ht="12.75" customHeight="1">
      <c r="B17" s="17"/>
      <c r="C17" s="447"/>
      <c r="D17" s="8"/>
      <c r="E17" s="8"/>
      <c r="F17" s="6"/>
      <c r="G17" s="6"/>
      <c r="K17" s="6"/>
      <c r="L17" s="5">
        <f>L14-C4</f>
        <v>3400</v>
      </c>
      <c r="P17" s="5" t="s">
        <v>650</v>
      </c>
      <c r="R17" s="5">
        <f>FLOOR($D$4/R8,1)</f>
        <v>-1</v>
      </c>
      <c r="S17" s="5">
        <f>FLOOR($D$4/S8,1)</f>
        <v>-1</v>
      </c>
      <c r="T17" s="5">
        <f>FLOOR($D$4/T8,1)</f>
        <v>-1</v>
      </c>
    </row>
    <row r="18" spans="1:21" ht="12.75" customHeight="1">
      <c r="A18" s="436"/>
      <c r="B18" s="17"/>
      <c r="C18" s="447"/>
      <c r="D18" s="8"/>
      <c r="E18" s="8"/>
      <c r="F18" s="6"/>
      <c r="G18" s="6"/>
      <c r="K18" s="6"/>
    </row>
    <row r="19" spans="1:21" ht="14.25" customHeight="1">
      <c r="A19" s="436"/>
      <c r="B19" s="498" t="str">
        <f>texty!A242</f>
        <v>dilatácia 4 mm</v>
      </c>
      <c r="C19" s="120"/>
      <c r="D19" s="8"/>
      <c r="E19" s="8"/>
      <c r="F19" s="6"/>
      <c r="G19" s="6"/>
      <c r="K19" s="6"/>
    </row>
    <row r="20" spans="1:21" ht="16.5" customHeight="1">
      <c r="A20" s="7"/>
      <c r="B20" s="8"/>
      <c r="C20" s="8"/>
      <c r="E20" s="8"/>
      <c r="F20" s="6"/>
      <c r="G20" s="6"/>
      <c r="K20" s="6"/>
      <c r="L20" s="6"/>
      <c r="Q20" s="5" t="s">
        <v>694</v>
      </c>
      <c r="R20" s="5" t="s">
        <v>693</v>
      </c>
      <c r="S20" s="5">
        <v>1700</v>
      </c>
      <c r="T20" s="5">
        <v>2350</v>
      </c>
      <c r="U20" s="5">
        <v>3000</v>
      </c>
    </row>
    <row r="21" spans="1:21" ht="16.5" customHeight="1">
      <c r="A21" s="7"/>
      <c r="B21" s="8"/>
      <c r="C21" s="8"/>
      <c r="D21" s="13"/>
      <c r="E21" s="8"/>
      <c r="F21" s="6"/>
      <c r="G21" s="6"/>
      <c r="K21" s="6"/>
      <c r="P21" s="5">
        <v>1</v>
      </c>
      <c r="Q21" s="5">
        <f>R8</f>
        <v>-44</v>
      </c>
      <c r="R21" s="5" t="str">
        <f>IF(Q21&gt;=D4,1,"")</f>
        <v/>
      </c>
      <c r="S21" s="168" t="str">
        <f>IF(R21=1,1,"")</f>
        <v/>
      </c>
      <c r="T21" s="168"/>
      <c r="U21" s="168"/>
    </row>
    <row r="22" spans="1:21" ht="12.75" customHeight="1">
      <c r="A22" s="7"/>
      <c r="B22" s="8"/>
      <c r="C22" s="8"/>
      <c r="D22" s="8"/>
      <c r="E22" s="8"/>
      <c r="F22" s="6"/>
      <c r="G22" s="6"/>
      <c r="K22" s="3"/>
      <c r="P22" s="5">
        <v>2</v>
      </c>
      <c r="Q22" s="5">
        <f>S8</f>
        <v>-60</v>
      </c>
      <c r="R22" s="5" t="str">
        <f>IF(Q22&gt;=D4,IF(R21=1,"",1),"")</f>
        <v/>
      </c>
      <c r="S22" s="168"/>
      <c r="T22" s="168" t="str">
        <f>IF(R22=1,1,"")</f>
        <v/>
      </c>
      <c r="U22" s="168"/>
    </row>
    <row r="23" spans="1:21" ht="12.75" customHeight="1">
      <c r="A23" s="7"/>
      <c r="B23" s="8"/>
      <c r="C23" s="8"/>
      <c r="D23" s="8"/>
      <c r="E23" s="8"/>
      <c r="F23" s="6"/>
      <c r="G23" s="6"/>
      <c r="P23" s="5">
        <v>3</v>
      </c>
      <c r="Q23" s="5">
        <f>T8</f>
        <v>-77</v>
      </c>
      <c r="R23" s="5" t="str">
        <f>IF(Q23&gt;=D4,IF(Q22&gt;=D4,"",1),"")</f>
        <v/>
      </c>
      <c r="U23" s="168" t="str">
        <f>IF(R23=1,1,"")</f>
        <v/>
      </c>
    </row>
    <row r="24" spans="1:21" ht="12.75" customHeight="1">
      <c r="A24" s="7"/>
      <c r="B24" s="8"/>
      <c r="C24" s="8"/>
      <c r="D24" s="8"/>
      <c r="E24" s="8"/>
      <c r="F24" s="6"/>
      <c r="G24" s="6"/>
      <c r="K24" s="5" t="str">
        <f>CONCATENATE(M24,"-",$O$7)</f>
        <v xml:space="preserve">1700-strieborná </v>
      </c>
      <c r="L24" s="6">
        <f>SUM(S21:S43)</f>
        <v>0</v>
      </c>
      <c r="M24" s="5">
        <v>1700</v>
      </c>
      <c r="O24" s="5" t="s">
        <v>652</v>
      </c>
      <c r="P24" s="167" t="s">
        <v>653</v>
      </c>
      <c r="Q24" s="5">
        <f>R8+S8</f>
        <v>-104</v>
      </c>
      <c r="R24" s="5" t="str">
        <f>IF(Q24&gt;=D4,IF(SUM(R21:R23)&gt;0,"",1),"")</f>
        <v/>
      </c>
      <c r="S24" s="168" t="str">
        <f>IF(R24=1,1,"")</f>
        <v/>
      </c>
      <c r="T24" s="168" t="str">
        <f>IF(R24=1,1,"")</f>
        <v/>
      </c>
    </row>
    <row r="25" spans="1:21" ht="12.75" customHeight="1">
      <c r="A25" s="7"/>
      <c r="B25" s="8"/>
      <c r="D25" s="8"/>
      <c r="E25" s="8"/>
      <c r="F25" s="8"/>
      <c r="G25" s="131" t="str">
        <f>+System10!G25</f>
        <v>partnerská zľava:</v>
      </c>
      <c r="K25" s="5" t="str">
        <f>CONCATENATE(M25,"-",$O$7)</f>
        <v xml:space="preserve">2350-strieborná </v>
      </c>
      <c r="L25" s="6">
        <f>SUM(T21:T43)</f>
        <v>0</v>
      </c>
      <c r="M25" s="5">
        <v>2350</v>
      </c>
      <c r="P25" s="5" t="s">
        <v>689</v>
      </c>
      <c r="Q25" s="5">
        <f>S8+S8</f>
        <v>-120</v>
      </c>
      <c r="R25" s="5" t="str">
        <f>IF(Q25&gt;=D4,IF(SUM(R21:R24)&gt;0,"",1),"")</f>
        <v/>
      </c>
      <c r="T25" s="168" t="str">
        <f>IF(R25=1,2,"")</f>
        <v/>
      </c>
    </row>
    <row r="26" spans="1:21" ht="12.75" customHeight="1">
      <c r="A26" s="14" t="str">
        <f>+System10!A26</f>
        <v>Objednávacie kódy, ceny:</v>
      </c>
      <c r="B26" s="8"/>
      <c r="D26" s="8"/>
      <c r="E26" s="8"/>
      <c r="F26" s="8"/>
      <c r="G26" s="143">
        <f>profil!C15</f>
        <v>0</v>
      </c>
      <c r="H26" s="28"/>
      <c r="K26" s="5" t="str">
        <f>CONCATENATE(M26,"-",$O$7)</f>
        <v xml:space="preserve">3000-strieborná </v>
      </c>
      <c r="L26" s="6">
        <f>SUM(U21:U43)</f>
        <v>0</v>
      </c>
      <c r="M26" s="5">
        <v>3000</v>
      </c>
      <c r="N26" s="165"/>
      <c r="P26" s="5" t="s">
        <v>654</v>
      </c>
      <c r="Q26" s="5">
        <f>R8+T8</f>
        <v>-121</v>
      </c>
      <c r="R26" s="5" t="str">
        <f>IF(Q26&gt;=D4,IF(SUM(R21:R25)&gt;0,"",1),"")</f>
        <v/>
      </c>
      <c r="S26" s="168" t="str">
        <f>IF(R26=1,1,"")</f>
        <v/>
      </c>
      <c r="U26" s="168" t="str">
        <f>IF(R26=1,1,"")</f>
        <v/>
      </c>
    </row>
    <row r="27" spans="1:21" ht="12.75" customHeight="1">
      <c r="A27" s="7"/>
      <c r="B27" s="19" t="str">
        <f>+System10!B27</f>
        <v>kód</v>
      </c>
      <c r="C27" s="18" t="str">
        <f>+System10!C27</f>
        <v>názov</v>
      </c>
      <c r="D27" s="19" t="str">
        <f>+System10!D27</f>
        <v>ks</v>
      </c>
      <c r="E27" s="19" t="str">
        <f>+System10!E27</f>
        <v>cena/ks</v>
      </c>
      <c r="F27" s="19" t="str">
        <f>+System10!F27</f>
        <v>cena celkom</v>
      </c>
      <c r="G27" s="20" t="str">
        <f>+System10!G27</f>
        <v>celkom netto:</v>
      </c>
      <c r="I27" s="18" t="str">
        <f>texty!A29</f>
        <v>Poznámka:</v>
      </c>
      <c r="J27" s="18"/>
      <c r="K27" s="6"/>
      <c r="L27" s="5">
        <f>COUNT(L24,L25,L26)</f>
        <v>3</v>
      </c>
      <c r="M27" s="165"/>
      <c r="N27" s="165"/>
      <c r="P27" s="5" t="s">
        <v>655</v>
      </c>
      <c r="Q27" s="5">
        <f>S8+T8</f>
        <v>-137</v>
      </c>
      <c r="R27" s="5" t="str">
        <f>IF(Q27&gt;=D4,IF(SUM(R21:R26)&gt;0,"",1),"")</f>
        <v/>
      </c>
      <c r="T27" s="168" t="str">
        <f>IF(R27=1,1,"")</f>
        <v/>
      </c>
      <c r="U27" s="168" t="str">
        <f>IF(R27=1,1,"")</f>
        <v/>
      </c>
    </row>
    <row r="28" spans="1:21" ht="12.75" customHeight="1">
      <c r="A28" s="7" t="str">
        <f>+System10!A28</f>
        <v>Horný profil:</v>
      </c>
      <c r="B28" s="16">
        <f>+VLOOKUP(N5,data!$C$605:$D$614,2,0)</f>
        <v>98110</v>
      </c>
      <c r="C28" s="25" t="str">
        <f>+VLOOKUP(B28,cennik!$A:$G,2,FALSE)</f>
        <v>SEVROLL-HOR. VEDENIE COMFORT 1,70 M STR.</v>
      </c>
      <c r="D28" s="17">
        <v>1</v>
      </c>
      <c r="E28" s="92">
        <f>+VLOOKUP(B28,cennik!$A:$G,3,FALSE)</f>
        <v>32.275260000000003</v>
      </c>
      <c r="F28" s="92">
        <f t="shared" ref="F28:F38" si="1">+E28*D28</f>
        <v>32.275260000000003</v>
      </c>
      <c r="G28" s="93">
        <f t="shared" ref="G28:G38" si="2">+F28*(100-$G$26)/100</f>
        <v>32.275260000000003</v>
      </c>
      <c r="H28" s="6" t="str">
        <f>cennik!$B$2</f>
        <v>EUR</v>
      </c>
      <c r="I28" s="483" t="str">
        <f>IFERROR(IF((VLOOKUP(B28,cennik!A:L,12,0))="O",texty!$A$250,""),"")</f>
        <v>Na objednávku</v>
      </c>
      <c r="J28" s="196">
        <f>IF(D28&gt;0,IF(VLOOKUP(B28,cennik!A:L,12,FALSE)="O",1,""),"")</f>
        <v>1</v>
      </c>
      <c r="K28" s="6"/>
      <c r="L28" s="165"/>
      <c r="M28" s="165"/>
      <c r="N28" s="165"/>
      <c r="P28" s="5" t="s">
        <v>690</v>
      </c>
      <c r="Q28" s="5">
        <f>T8+T8</f>
        <v>-154</v>
      </c>
      <c r="R28" s="5" t="str">
        <f>IF(Q28&gt;=D4,IF(SUM(R21:R27)&gt;0,"",1),"")</f>
        <v/>
      </c>
      <c r="U28" s="168" t="str">
        <f>IF(R28=1,2,"")</f>
        <v/>
      </c>
    </row>
    <row r="29" spans="1:21" ht="12.75" customHeight="1">
      <c r="A29" s="7" t="str">
        <f>+System10!A29</f>
        <v>spodný profil:</v>
      </c>
      <c r="B29" s="16">
        <f>+VLOOKUP(N5,data!$C$615:$D$624,2,0)</f>
        <v>163106</v>
      </c>
      <c r="C29" s="25" t="str">
        <f>+VLOOKUP(B29,cennik!$A:$G,2,FALSE)</f>
        <v>SEVROLL Doubler II spodné vedenie 1,7m strie</v>
      </c>
      <c r="D29" s="17">
        <v>1</v>
      </c>
      <c r="E29" s="92">
        <f>+VLOOKUP(B29,cennik!$A:$G,3,FALSE)</f>
        <v>15.83633</v>
      </c>
      <c r="F29" s="92">
        <f t="shared" si="1"/>
        <v>15.83633</v>
      </c>
      <c r="G29" s="93">
        <f t="shared" si="2"/>
        <v>15.83633</v>
      </c>
      <c r="H29" s="6" t="str">
        <f>cennik!$B$2</f>
        <v>EUR</v>
      </c>
      <c r="I29" s="483" t="str">
        <f>IFERROR(IF((VLOOKUP(B29,cennik!A:L,12,0))="O",texty!$A$250,""),"")</f>
        <v>Na objednávku</v>
      </c>
      <c r="J29" s="196">
        <f>IF(D29&gt;0,IF(VLOOKUP(B29,cennik!A:L,12,FALSE)="O",1,""),"")</f>
        <v>1</v>
      </c>
      <c r="K29" s="6" t="s">
        <v>656</v>
      </c>
      <c r="L29" s="5" t="str">
        <f>IF(L24=0,IF(L25=0,K26,K25),K24)</f>
        <v xml:space="preserve">3000-strieborná </v>
      </c>
      <c r="M29" s="165">
        <f>IF(L29=K24,L24,IF(L29=K25,L25,IF(L29=K26,L26,"chyba")))</f>
        <v>0</v>
      </c>
      <c r="N29" s="165"/>
      <c r="O29" s="165"/>
      <c r="P29" s="5" t="s">
        <v>691</v>
      </c>
      <c r="Q29" s="5">
        <f>R8+R8+R8</f>
        <v>-132</v>
      </c>
      <c r="R29" s="5" t="str">
        <f>IF(Q29&gt;=D4,IF(SUM(R21:R28)&gt;0,"",1),"")</f>
        <v/>
      </c>
      <c r="S29" s="168" t="str">
        <f>IF(R29=1,3,"")</f>
        <v/>
      </c>
    </row>
    <row r="30" spans="1:21" ht="12.75" customHeight="1">
      <c r="A30" s="7" t="str">
        <f>+System10!$A$30</f>
        <v>krycí profil (maska):</v>
      </c>
      <c r="B30" s="16">
        <f>+VLOOKUP(N5,data!$C$625:$D$634,2,0)</f>
        <v>163122</v>
      </c>
      <c r="C30" s="25" t="str">
        <f>+VLOOKUP(B30,cennik!$A:$G,2,FALSE)</f>
        <v>SEVROLL-MASKA DOUBLER II 1,7 M strieborn</v>
      </c>
      <c r="D30" s="17">
        <v>1</v>
      </c>
      <c r="E30" s="92">
        <f>+VLOOKUP(B30,cennik!$A:$G,3,FALSE)</f>
        <v>5.2064599999999999</v>
      </c>
      <c r="F30" s="92">
        <f>+E30*D30</f>
        <v>5.2064599999999999</v>
      </c>
      <c r="G30" s="93">
        <f>+F30*(100-$G$26)/100</f>
        <v>5.2064599999999999</v>
      </c>
      <c r="H30" s="6" t="str">
        <f>cennik!$B$2</f>
        <v>EUR</v>
      </c>
      <c r="I30" s="483" t="str">
        <f>IFERROR(IF((VLOOKUP(B30,cennik!A:L,12,0))="O",texty!$A$250,""),"")</f>
        <v>Na objednávku</v>
      </c>
      <c r="J30" s="196">
        <f>IF(D30&gt;0,IF(VLOOKUP(B30,cennik!A:L,12,FALSE)="O",1,""),"")</f>
        <v>1</v>
      </c>
      <c r="K30" s="6"/>
      <c r="M30" s="165"/>
      <c r="N30" s="165"/>
      <c r="O30" s="165"/>
      <c r="S30" s="168"/>
    </row>
    <row r="31" spans="1:21" ht="12.75" customHeight="1">
      <c r="A31" s="7" t="str">
        <f>+System10!A31</f>
        <v>horné vozíky (sady)</v>
      </c>
      <c r="B31" s="16">
        <v>98048</v>
      </c>
      <c r="C31" s="25" t="str">
        <f>+VLOOKUP(B31,cennik!$A:$G,2,FALSE)</f>
        <v>SEVROLL Future horný vozík 10mm (ľavý+pravý)</v>
      </c>
      <c r="D31" s="17">
        <f>IF((D50+D51)&gt;D4,0,D4-(D50+D51))</f>
        <v>3</v>
      </c>
      <c r="E31" s="92">
        <f>+VLOOKUP(B31,cennik!$A:$G,3,FALSE)</f>
        <v>7.1106800000000003</v>
      </c>
      <c r="F31" s="92">
        <f t="shared" si="1"/>
        <v>21.332039999999999</v>
      </c>
      <c r="G31" s="93">
        <f t="shared" si="2"/>
        <v>21.332039999999996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 t="s">
        <v>657</v>
      </c>
      <c r="L31" s="5" t="str">
        <f>IF(L29=K26,"jiné",IF(L29=K24,IF(L25&lt;&gt;0,K25,IF(L26&lt;&gt;0,K26,"jiné")),IF(L26&lt;&gt;0,K26,"jiné")))</f>
        <v>jiné</v>
      </c>
      <c r="M31" s="165">
        <f>IF(L31=K25,L25,IF(L31=K26,L26,IF(L31=K27,L27,0)))</f>
        <v>0</v>
      </c>
      <c r="N31" s="165"/>
      <c r="O31" s="165"/>
      <c r="P31" s="5" t="s">
        <v>658</v>
      </c>
      <c r="Q31" s="5">
        <f>R8+2*S8</f>
        <v>-164</v>
      </c>
      <c r="R31" s="5" t="str">
        <f>IF(Q31&gt;=D4,IF(SUM(R21:R29)&gt;0,"",1),"")</f>
        <v/>
      </c>
      <c r="S31" s="168" t="str">
        <f>IF(R31=1,1,"")</f>
        <v/>
      </c>
      <c r="T31" s="168" t="str">
        <f>IF(R31=1,2,"")</f>
        <v/>
      </c>
    </row>
    <row r="32" spans="1:21" ht="12.75" customHeight="1">
      <c r="A32" s="7" t="str">
        <f>+System10!A32</f>
        <v>spodné vozíky (sada)</v>
      </c>
      <c r="B32" s="16"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1"/>
        <v>18.58419</v>
      </c>
      <c r="G32" s="93">
        <f t="shared" si="2"/>
        <v>18.58419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L32" s="165"/>
      <c r="M32" s="165"/>
      <c r="N32" s="165"/>
      <c r="O32" s="165"/>
      <c r="P32" s="5" t="s">
        <v>692</v>
      </c>
      <c r="Q32" s="5">
        <f>S8+S8+S8</f>
        <v>-180</v>
      </c>
      <c r="R32" s="5" t="str">
        <f>IF(Q32&gt;=D4,IF(SUM(R21:R31)&gt;0,"",1),"")</f>
        <v/>
      </c>
      <c r="T32" s="168" t="str">
        <f>IF(R32=1,3,"")</f>
        <v/>
      </c>
    </row>
    <row r="33" spans="1:21" ht="12.75" customHeight="1">
      <c r="A33" s="7" t="str">
        <f>+System10!A33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1"/>
        <v>0</v>
      </c>
      <c r="G33" s="93">
        <f t="shared" si="2"/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</row>
    <row r="34" spans="1:21" ht="12.75" customHeight="1">
      <c r="A34" s="7" t="str">
        <f>+System10!A34</f>
        <v>úchytková lišta</v>
      </c>
      <c r="B34" s="16">
        <f>IF(B12&gt;2700, VLOOKUP(O7,data!$C$434:$D$435,2,0),IF(B12&gt;1785, VLOOKUP(O7,data!$C$431:$D$432,2,0),IF(B12&gt;1347, VLOOKUP(O7,data!$C$434:$D$435,2,0), VLOOKUP(O7,data!$C$431:$D$432,2,0))))</f>
        <v>179229</v>
      </c>
      <c r="C34" s="25" t="str">
        <f>+VLOOKUP(B34,cennik!$A:$G,2,FALSE)</f>
        <v>SEVROLL Future II úch.lišta 2,7m strieborná</v>
      </c>
      <c r="D34" s="17">
        <f>IF(B12&lt;=1785,D4*2/2,D4*2)</f>
        <v>3</v>
      </c>
      <c r="E34" s="92">
        <f>+VLOOKUP(B34,cennik!$A:$G,3,FALSE)</f>
        <v>32.63682</v>
      </c>
      <c r="F34" s="92">
        <f t="shared" si="1"/>
        <v>97.91046</v>
      </c>
      <c r="G34" s="93">
        <f t="shared" si="2"/>
        <v>97.91046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6"/>
    </row>
    <row r="35" spans="1:21" ht="12.75" customHeight="1">
      <c r="A35" s="7" t="str">
        <f>+System10!A35</f>
        <v>spojovacia skrutka</v>
      </c>
      <c r="B35" s="6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>+E35*D35</f>
        <v>1.7354400000000001</v>
      </c>
      <c r="G35" s="93">
        <f>+F35*(100-$G$26)/100</f>
        <v>1.7354400000000001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3"/>
    </row>
    <row r="36" spans="1:21" ht="12.75" customHeight="1">
      <c r="A36" s="7" t="str">
        <f>+System10!A36</f>
        <v>horný profil rámu (vodiaca lišta)</v>
      </c>
      <c r="B36" s="16">
        <f>+VLOOKUP(L29,data!C262:D276,2,0)</f>
        <v>89234</v>
      </c>
      <c r="C36" s="25" t="str">
        <f>+VLOOKUP(B36,cennik!$A:$G,2,FALSE)</f>
        <v>SEVROLL-208 VOD.LIŠTA HOR 3M STRIEBOR.</v>
      </c>
      <c r="D36" s="65">
        <f>M29</f>
        <v>0</v>
      </c>
      <c r="E36" s="92">
        <f>+VLOOKUP(B36,cennik!$A:$G,3,FALSE)</f>
        <v>17.05725</v>
      </c>
      <c r="F36" s="92">
        <f t="shared" si="1"/>
        <v>0</v>
      </c>
      <c r="G36" s="93">
        <f t="shared" si="2"/>
        <v>0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>
        <f>+System10!L22</f>
        <v>0</v>
      </c>
    </row>
    <row r="37" spans="1:21" ht="12.75" customHeight="1">
      <c r="A37" s="7" t="str">
        <f>+System10!A37</f>
        <v>horný profil rámu (vodiaca lišta)</v>
      </c>
      <c r="B37" s="16" t="str">
        <f>IF(L31&lt;&gt;"jiné",+VLOOKUP(L31,data!C261:D275,2,0),"")</f>
        <v/>
      </c>
      <c r="C37" s="25" t="str">
        <f>IF(L31&lt;&gt;"jiné",+VLOOKUP(B37,cennik!$A:$G,2,FALSE),texty!$A$2)</f>
        <v>druhá lišta nieje potrebná</v>
      </c>
      <c r="D37" s="65">
        <f>M31</f>
        <v>0</v>
      </c>
      <c r="E37" s="92">
        <f>IF(L31&lt;&gt;"jiné",+VLOOKUP(B37,cennik!$A:$G,3,FALSE),0)</f>
        <v>0</v>
      </c>
      <c r="F37" s="92">
        <f>+E37*D37</f>
        <v>0</v>
      </c>
      <c r="G37" s="93">
        <f>+F37*(100-$G$26)/100</f>
        <v>0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3"/>
    </row>
    <row r="38" spans="1:21" ht="12.75" customHeight="1">
      <c r="A38" s="7" t="str">
        <f>+System10!A38</f>
        <v>horizontálny spodný profil rámu</v>
      </c>
      <c r="B38" s="6">
        <f>+VLOOKUP(L29,data!$C$315:$D$326,2,0)</f>
        <v>89224</v>
      </c>
      <c r="C38" s="25" t="str">
        <f>+VLOOKUP(B38,cennik!$A:$G,2,FALSE)</f>
        <v>SEVROLL spodná krycia lišta 3m strieborná</v>
      </c>
      <c r="D38" s="65">
        <f>M29</f>
        <v>0</v>
      </c>
      <c r="E38" s="92">
        <f>+VLOOKUP(B38,cennik!$A:$G,3,FALSE)</f>
        <v>28.03295</v>
      </c>
      <c r="F38" s="92">
        <f t="shared" si="1"/>
        <v>0</v>
      </c>
      <c r="G38" s="93">
        <f t="shared" si="2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 t="str">
        <f>+System10!L24</f>
        <v xml:space="preserve">1700-strieborná </v>
      </c>
    </row>
    <row r="39" spans="1:21" ht="12.75" customHeight="1">
      <c r="A39" s="7" t="str">
        <f>+System10!A39</f>
        <v>horizontálny spodný profil rámu</v>
      </c>
      <c r="B39" s="16" t="str">
        <f>IF(L31&lt;&gt;"jiné",+VLOOKUP(L31,data!$C$315:$D$326,2,0),"")</f>
        <v/>
      </c>
      <c r="C39" s="25" t="str">
        <f>IF(L31&lt;&gt;"jiné",+VLOOKUP(B39,cennik!$A:$G,2,FALSE),texty!$A$2)</f>
        <v>druhá lišta nieje potrebná</v>
      </c>
      <c r="D39" s="65">
        <f>M31</f>
        <v>0</v>
      </c>
      <c r="E39" s="92">
        <f>IF(L31&lt;&gt;"jiné",+VLOOKUP(B39,cennik!$A:$G,3,FALSE),0)</f>
        <v>0</v>
      </c>
      <c r="F39" s="92">
        <f>+E39*D39</f>
        <v>0</v>
      </c>
      <c r="G39" s="93">
        <f>+F39*(100-$G$26)/100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21" ht="12.75" customHeight="1">
      <c r="E40" s="95"/>
      <c r="F40" s="95"/>
      <c r="G40" s="95"/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21" ht="12.75" customHeight="1">
      <c r="A41" s="14" t="str">
        <f>texty!$A$66</f>
        <v>Voliteľné príslušenstvo:</v>
      </c>
      <c r="B41" s="15"/>
      <c r="D41" s="26" t="str">
        <f>System10!$D$41</f>
        <v>zadajte počet:</v>
      </c>
      <c r="E41" s="96"/>
      <c r="F41" s="96"/>
      <c r="G41" s="95"/>
      <c r="I41" s="483" t="str">
        <f>IFERROR(IF((VLOOKUP(B41,cennik!A:L,12,0))="O",texty!$A$250,""),"")</f>
        <v/>
      </c>
      <c r="J41" s="196"/>
      <c r="K41" s="3"/>
    </row>
    <row r="42" spans="1:21" ht="12.75" customHeight="1">
      <c r="A42" s="7" t="str">
        <f>texty!$A$88</f>
        <v>pozicionér do horného vedenia</v>
      </c>
      <c r="B42" s="15">
        <v>298035</v>
      </c>
      <c r="C42" s="25" t="str">
        <f>+VLOOKUP(B42,cennik!$A:$G,2,FALSE)</f>
        <v>SEVROLL Fix pozicionér pre horný vozík tran.</v>
      </c>
      <c r="D42" s="29"/>
      <c r="E42" s="92">
        <f>+VLOOKUP(B42,cennik!$A:$G,3,FALSE)</f>
        <v>1.0605800000000001</v>
      </c>
      <c r="F42" s="97">
        <f t="shared" ref="F42:F53" si="3">+CEILING(D42,1)*E42</f>
        <v>0</v>
      </c>
      <c r="G42" s="93">
        <f t="shared" ref="G42:G49" si="4">+F42*(100-$G$26)/100</f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3"/>
    </row>
    <row r="43" spans="1:21" ht="12.75" customHeight="1">
      <c r="A43" s="7" t="str">
        <f>+System10!A43</f>
        <v xml:space="preserve">pozicionér </v>
      </c>
      <c r="B43" s="16">
        <v>89063</v>
      </c>
      <c r="C43" s="25" t="str">
        <f>+VLOOKUP(B43,cennik!$A:$G,2,FALSE)</f>
        <v>SEV - pozicionér HI-TEC</v>
      </c>
      <c r="D43" s="29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6"/>
      <c r="L43" s="165"/>
      <c r="M43" s="165"/>
      <c r="N43" s="165"/>
      <c r="O43" s="165"/>
      <c r="P43" s="5" t="s">
        <v>659</v>
      </c>
      <c r="Q43" s="5">
        <f>R8+2*T8</f>
        <v>-198</v>
      </c>
      <c r="R43" s="5" t="str">
        <f>IF(Q43&gt;=D4,IF(SUM(R21:R32)&gt;0,"",1),"")</f>
        <v/>
      </c>
      <c r="S43" s="168" t="str">
        <f>IF(R43=1,1,"")</f>
        <v/>
      </c>
      <c r="U43" s="168" t="str">
        <f>IF(R43=1,2,"")</f>
        <v/>
      </c>
    </row>
    <row r="44" spans="1:21" ht="12.75" customHeight="1">
      <c r="A44" s="7" t="str">
        <f>texty!A179</f>
        <v>skrutka k spodnémi vedeniu</v>
      </c>
      <c r="B44" s="15">
        <v>98019</v>
      </c>
      <c r="C44" s="25" t="str">
        <f>+VLOOKUP(B44,cennik!$A:$G,2,FALSE)</f>
        <v>SEVROLL-skrutka 2,5*18MM</v>
      </c>
      <c r="D44" s="29"/>
      <c r="E44" s="92">
        <f>+VLOOKUP(B44,cennik!$A:$G,3,FALSE)</f>
        <v>2.8680000000000001E-2</v>
      </c>
      <c r="F44" s="97">
        <f t="shared" si="3"/>
        <v>0</v>
      </c>
      <c r="G44" s="93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3"/>
    </row>
    <row r="45" spans="1:21" ht="12.75" customHeight="1">
      <c r="A45" s="436" t="str">
        <f>texty!$A$228</f>
        <v> Tlmič dorazu MINI do 25 kg (pár)</v>
      </c>
      <c r="B45" s="16">
        <v>318662</v>
      </c>
      <c r="C45" s="25" t="str">
        <f>+VLOOKUP(B45,cennik!$A:$G,2,FALSE)</f>
        <v>SEVROLL tlmič dorazu Mini SV25 - 2ks</v>
      </c>
      <c r="D45" s="29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3"/>
    </row>
    <row r="46" spans="1:21" ht="12.75" customHeight="1">
      <c r="A46" s="436" t="str">
        <f>texty!$A$229</f>
        <v> Tlmič dorazu MINI do 40 kg (pár)</v>
      </c>
      <c r="B46" s="24">
        <v>283956</v>
      </c>
      <c r="C46" s="25" t="str">
        <f>+VLOOKUP(B46,cennik!$A:$G,2,FALSE)</f>
        <v>SEVROLL tlmič dorazu Mini SV40 - 2ks</v>
      </c>
      <c r="D46" s="29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436" t="str">
        <f>texty!$A$230</f>
        <v> Tlmič dorazu MINI do 60 kg (pár)</v>
      </c>
      <c r="B47" s="24">
        <v>351743</v>
      </c>
      <c r="C47" s="25" t="str">
        <f>+VLOOKUP(B47,cennik!$A:$G,2,FALSE)</f>
        <v/>
      </c>
      <c r="D47" s="29"/>
      <c r="E47" s="92">
        <f>+VLOOKUP(B47,cennik!$A:$G,3,FALSE)</f>
        <v>22.368510000000001</v>
      </c>
      <c r="F47" s="97">
        <f t="shared" si="3"/>
        <v>0</v>
      </c>
      <c r="G47" s="93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3"/>
    </row>
    <row r="48" spans="1:21" ht="12.75" customHeight="1">
      <c r="A48" s="436" t="str">
        <f>texty!$A$231</f>
        <v> Tlmič pre stredné krídlo do 25 kg</v>
      </c>
      <c r="B48" s="24">
        <v>318663</v>
      </c>
      <c r="C48" s="25" t="str">
        <f>+VLOOKUP(B48,cennik!$A:$G,2,FALSE)</f>
        <v>SEVROLL tlmič Central 10/18mm obojst. 25 kg</v>
      </c>
      <c r="D48" s="29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3"/>
    </row>
    <row r="49" spans="1:11" ht="15.5" customHeight="1">
      <c r="A49" s="436" t="str">
        <f>texty!$A$232</f>
        <v> Tlmič pre stredné krídlo do 40 kg</v>
      </c>
      <c r="B49" s="24">
        <v>283955</v>
      </c>
      <c r="C49" s="25" t="str">
        <f>+VLOOKUP(B49,cennik!$A:$G,2,FALSE)</f>
        <v>SEVROLL tlmič Central 10/18mm obojst.25-40kg</v>
      </c>
      <c r="D49" s="29"/>
      <c r="E49" s="92">
        <f>+VLOOKUP(B49,cennik!$A:$G,3,FALSE)</f>
        <v>47.918750000000003</v>
      </c>
      <c r="F49" s="97">
        <f t="shared" si="3"/>
        <v>0</v>
      </c>
      <c r="G49" s="93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3"/>
    </row>
    <row r="50" spans="1:11" ht="12.75" customHeight="1">
      <c r="A50" s="7" t="str">
        <f>System10!A49</f>
        <v>tlmič dorazu (pár) 25 kg</v>
      </c>
      <c r="B50" s="24">
        <v>227185</v>
      </c>
      <c r="C50" s="25" t="str">
        <f>+VLOOKUP(B50,cennik!$A:$G,2,FALSE)</f>
        <v>K-SEVROLL tlmič dorazu 10/18mm 14-25kg(L+P)</v>
      </c>
      <c r="D50" s="29"/>
      <c r="E50" s="92">
        <f>+VLOOKUP(B50,cennik!$A:$G,3,FALSE)</f>
        <v>0</v>
      </c>
      <c r="F50" s="97">
        <f t="shared" si="3"/>
        <v>0</v>
      </c>
      <c r="G50" s="93">
        <f t="shared" ref="G50:G56" si="5">+F50*(100-$G$26)/100</f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1" ht="12.75" customHeight="1">
      <c r="A51" s="7" t="str">
        <f>texty!$A$98</f>
        <v>tlmič dorazu (pár) 50 kg</v>
      </c>
      <c r="B51" s="24">
        <v>227187</v>
      </c>
      <c r="C51" s="25" t="str">
        <f>+VLOOKUP(B51,cennik!$A:$G,2,FALSE)</f>
        <v>K-SEVROLL tlmič dorazu 10/18mm 25-50kg(L+P)</v>
      </c>
      <c r="D51" s="29"/>
      <c r="E51" s="92">
        <f>+VLOOKUP(B51,cennik!$A:$G,3,FALSE)</f>
        <v>0</v>
      </c>
      <c r="F51" s="97">
        <f t="shared" si="3"/>
        <v>0</v>
      </c>
      <c r="G51" s="93">
        <f t="shared" si="5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</row>
    <row r="52" spans="1:11" ht="12.75" customHeight="1">
      <c r="A52" s="7" t="str">
        <f>texty!$A$100</f>
        <v>spojovací profil H10-3metre</v>
      </c>
      <c r="B52" s="16">
        <f>+VLOOKUP(O7,data!C390:D392,2,0)</f>
        <v>89236</v>
      </c>
      <c r="C52" s="25" t="str">
        <f>+VLOOKUP(B52,cennik!$A:$G,2,FALSE)</f>
        <v>SEVROLL- SPOJ.LIŠTA "H10" 3M STR.</v>
      </c>
      <c r="D52" s="29"/>
      <c r="E52" s="92">
        <f>+VLOOKUP(B52,cennik!$A:$G,3,FALSE)</f>
        <v>17.52046</v>
      </c>
      <c r="F52" s="97">
        <f t="shared" si="3"/>
        <v>0</v>
      </c>
      <c r="G52" s="93">
        <f t="shared" si="5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</row>
    <row r="53" spans="1:11" ht="12.75" customHeight="1">
      <c r="A53" s="7" t="str">
        <f>texty!$A$101</f>
        <v>spojovací profil H30-3metre</v>
      </c>
      <c r="B53" s="17">
        <f>+VLOOKUP(O7,data!C399:D401,2,0)</f>
        <v>89069</v>
      </c>
      <c r="C53" s="25" t="str">
        <f>+VLOOKUP(B53,cennik!$A:$G,2,FALSE)</f>
        <v>SEVROLL-253S-SPOJ.LIŠTA H-30mm STR 3m</v>
      </c>
      <c r="D53" s="29"/>
      <c r="E53" s="92">
        <f>+VLOOKUP(B53,cennik!$A:$G,3,FALSE)</f>
        <v>26.594049999999999</v>
      </c>
      <c r="F53" s="97">
        <f t="shared" si="3"/>
        <v>0</v>
      </c>
      <c r="G53" s="93">
        <f t="shared" si="5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</row>
    <row r="54" spans="1:11" ht="12.75" customHeight="1">
      <c r="A54" s="436" t="str">
        <f>texty!A240</f>
        <v>zámok posuvných dverí</v>
      </c>
      <c r="B54" s="17">
        <v>216363</v>
      </c>
      <c r="C54" s="25" t="str">
        <f>+VLOOKUP(B54,cennik!$A:$G,2,FALSE)</f>
        <v>SEVROLL zámok na posuvné dvere 18 mm</v>
      </c>
      <c r="D54" s="30"/>
      <c r="E54" s="92">
        <f>+VLOOKUP(B54,cennik!$A:$G,3,FALSE)</f>
        <v>17.186150000000001</v>
      </c>
      <c r="F54" s="92">
        <f>+E54*D54</f>
        <v>0</v>
      </c>
      <c r="G54" s="93">
        <f>+F54*(100-$G$26)/100</f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A55" s="7" t="str">
        <f>texty!$A$92</f>
        <v>spojovacia skrutka</v>
      </c>
      <c r="B55" s="16">
        <v>89244</v>
      </c>
      <c r="C55" s="25" t="str">
        <f>+VLOOKUP(B55,cennik!$A:$G,2,FALSE)</f>
        <v>SEVROLL šroubovrut 6,3*32 -Sevroll a Simple</v>
      </c>
      <c r="D55" s="30"/>
      <c r="E55" s="92">
        <f>+VLOOKUP(B55,cennik!$A:$G,3,FALSE)</f>
        <v>0.14462</v>
      </c>
      <c r="F55" s="92">
        <f>+E55*D55</f>
        <v>0</v>
      </c>
      <c r="G55" s="93">
        <f>+F55*(100-$G$26)/100</f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6"/>
    </row>
    <row r="56" spans="1:11" ht="12.75" customHeight="1">
      <c r="A56" s="7" t="str">
        <f>System10!A55</f>
        <v>protiprachový kartáč</v>
      </c>
      <c r="B56" s="17">
        <v>95946</v>
      </c>
      <c r="C56" s="25" t="str">
        <f>+VLOOKUP(B56,cennik!$A:$G,2,FALSE)</f>
        <v>SEVROLL protiprach.kartáč zásuvný 4,8x13mm</v>
      </c>
      <c r="D56" s="30"/>
      <c r="E56" s="92">
        <f>+VLOOKUP(B56,cennik!$A:$G,3,FALSE)</f>
        <v>0.16506999999999999</v>
      </c>
      <c r="F56" s="92">
        <f>+E56*D56</f>
        <v>0</v>
      </c>
      <c r="G56" s="93">
        <f t="shared" si="5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6"/>
    </row>
    <row r="57" spans="1:11" ht="12.75" customHeight="1">
      <c r="A57" s="7"/>
      <c r="B57" s="17"/>
      <c r="C57" s="25"/>
      <c r="D57" s="92"/>
      <c r="E57" s="92"/>
      <c r="F57" s="92"/>
      <c r="G57" s="93"/>
      <c r="I57" s="483" t="str">
        <f>IFERROR(IF((VLOOKUP(B57,cennik!A:L,12,0))="O",texty!$A$250,""),"")</f>
        <v/>
      </c>
      <c r="J57" s="196"/>
      <c r="K57" s="6"/>
    </row>
    <row r="58" spans="1:11" ht="12.75" customHeight="1">
      <c r="A58" s="41" t="str">
        <f>CONCATENATE(texty!$A$6,ROUND((C13/1000),1),texty!$A$8)</f>
        <v>Pokiaľ budete používať ako výplň sklo / zrkadlo, je nutné doobjednať tesnenie. Dĺžka tesnenia na jedno krídlo je -0,3m, pokiaľ je preskenných viac krídel, treba vynásobiť</v>
      </c>
      <c r="B58" s="42"/>
      <c r="C58" s="43"/>
      <c r="D58" s="44"/>
      <c r="E58" s="98"/>
      <c r="F58" s="98"/>
      <c r="G58" s="99"/>
      <c r="I58" s="483" t="str">
        <f>IFERROR(IF((VLOOKUP(B58,cennik!A:L,12,0))="O",texty!$A$250,""),"")</f>
        <v/>
      </c>
      <c r="J58" s="196" t="str">
        <f>IF(D58&gt;0,IF(VLOOKUP(B58,cennik!A:L,12,FALSE)="O",1,""),"")</f>
        <v/>
      </c>
      <c r="K58" s="6"/>
    </row>
    <row r="59" spans="1:11" ht="12.75" customHeight="1">
      <c r="C59" s="40" t="str">
        <f>texty!$A$10</f>
        <v>Potrebná dĺžka tesnenia pri celkovom presklení (nutné objednať celé metre)</v>
      </c>
      <c r="D59" s="39">
        <f>CEILING(((B9+C9)*2/1000*D4),1)</f>
        <v>0</v>
      </c>
      <c r="E59" s="95"/>
      <c r="F59" s="95"/>
      <c r="G59" s="95"/>
      <c r="I59" s="483" t="str">
        <f>IFERROR(IF((VLOOKUP(B59,cennik!A:L,12,0))="O",texty!$A$250,""),"")</f>
        <v/>
      </c>
      <c r="J59" s="196"/>
      <c r="K59" s="6"/>
    </row>
    <row r="60" spans="1:11" ht="12.75" customHeight="1">
      <c r="A60" s="48" t="str">
        <f>texty!$A$12</f>
        <v>(pri kombináciach s H profilmi je nutné pripočítať potrebnú dĺžku - tesnenie musí byť po celom odvode každého skla</v>
      </c>
      <c r="B60" s="46"/>
      <c r="C60" s="47"/>
      <c r="D60" s="46"/>
      <c r="E60" s="100"/>
      <c r="F60" s="100"/>
      <c r="G60" s="100"/>
      <c r="I60" s="483" t="str">
        <f>IFERROR(IF((VLOOKUP(B60,cennik!A:L,12,0))="O",texty!$A$250,""),"")</f>
        <v/>
      </c>
      <c r="J60" s="196" t="str">
        <f>IF(D60&gt;0,IF(VLOOKUP(B60,cennik!A:L,12,FALSE)="O",1,""),"")</f>
        <v/>
      </c>
      <c r="K60" s="6"/>
    </row>
    <row r="61" spans="1:11" ht="12.75" customHeight="1">
      <c r="A61" s="7" t="str">
        <f>System10!A59</f>
        <v>tesnenie na sklo 4mm</v>
      </c>
      <c r="B61" s="17">
        <v>89238</v>
      </c>
      <c r="C61" s="25" t="str">
        <f>+VLOOKUP(B61,cennik!$A:$G,2,FALSE)</f>
        <v>SEVROLL tesnenie na sklo 10/4mm</v>
      </c>
      <c r="D61" s="45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96" t="str">
        <f>IF(D61&gt;0,IF(VLOOKUP(B61,cennik!A:L,12,FALSE)="O",1,""),"")</f>
        <v/>
      </c>
      <c r="K61" s="6"/>
    </row>
    <row r="62" spans="1:11" ht="12.75" customHeight="1">
      <c r="A62" s="7" t="str">
        <f>texty!A103</f>
        <v>tesnenie na sklo 4,5 mm</v>
      </c>
      <c r="B62" s="17">
        <v>135164</v>
      </c>
      <c r="C62" s="25" t="str">
        <f>+VLOOKUP(B62,cennik!$A:$G,2,FALSE)</f>
        <v>SEVROLL- TESNENIE NA SKLO 4,5mm</v>
      </c>
      <c r="D62" s="45"/>
      <c r="E62" s="92">
        <f>+VLOOKUP(B62,cennik!$A:$G,3,FALSE)</f>
        <v>0.79542999999999997</v>
      </c>
      <c r="F62" s="97">
        <f>+CEILING(D62,1)*E62</f>
        <v>0</v>
      </c>
      <c r="G62" s="93">
        <f>+F62*(100-$G$26)/100</f>
        <v>0</v>
      </c>
      <c r="H62" s="6" t="str">
        <f>cennik!$B$2</f>
        <v>EUR</v>
      </c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3"/>
    </row>
    <row r="63" spans="1:11" ht="12.75" customHeight="1">
      <c r="A63" s="7" t="str">
        <f>System10!A61</f>
        <v>tesnenie na sklo 6mm</v>
      </c>
      <c r="B63" s="17">
        <v>89243</v>
      </c>
      <c r="C63" s="25" t="str">
        <f>+VLOOKUP(B63,cennik!$A:$G,2,FALSE)</f>
        <v>SEVROLL tesnenie na sklo 10/6mm</v>
      </c>
      <c r="D63" s="45"/>
      <c r="E63" s="92">
        <f>+VLOOKUP(B63,cennik!$A:$G,3,FALSE)</f>
        <v>0.89917999999999998</v>
      </c>
      <c r="F63" s="97">
        <f>+CEILING(D63,1)*E63</f>
        <v>0</v>
      </c>
      <c r="G63" s="93">
        <f>+F63*(100-$G$26)/100</f>
        <v>0</v>
      </c>
      <c r="H63" s="6" t="str">
        <f>cennik!$B$2</f>
        <v>EUR</v>
      </c>
      <c r="I63" s="483" t="str">
        <f>IFERROR(IF((VLOOKUP(B63,cennik!A:L,12,0))="O",texty!$A$250,""),"")</f>
        <v/>
      </c>
      <c r="J63" s="196" t="str">
        <f>IF(D63&gt;0,IF(VLOOKUP(B63,cennik!A:L,12,FALSE)="O",1,""),"")</f>
        <v/>
      </c>
      <c r="K63" s="6"/>
    </row>
    <row r="64" spans="1:11" ht="16">
      <c r="A64" s="285" t="str">
        <f>texty!$A$190</f>
        <v>Ďalšie príslušenstvo</v>
      </c>
      <c r="E64" s="95"/>
      <c r="F64" s="95"/>
      <c r="G64" s="95"/>
      <c r="I64" s="483" t="str">
        <f>IFERROR(IF((VLOOKUP(B64,cennik!A:L,12,0))="O",texty!$A$250,""),"")</f>
        <v/>
      </c>
      <c r="J64" s="196" t="str">
        <f>IF(D64&gt;0,IF(VLOOKUP(B64,cennik!A:L,12,FALSE)="O",1,""),"")</f>
        <v/>
      </c>
      <c r="K64" s="6"/>
    </row>
    <row r="65" spans="1:13" ht="12.75" customHeight="1">
      <c r="A65" s="285" t="str">
        <f>texty!$A$244</f>
        <v>Technický nákres tohoto systému</v>
      </c>
      <c r="B65" s="172">
        <v>129677</v>
      </c>
      <c r="C65" s="172" t="str">
        <f>VLOOKUP(B65,cennik!A:C,2,0)</f>
        <v>SEVROLL-MONT.PRÍPRAVOK NA DTD 10mm MALÝ</v>
      </c>
      <c r="D65" s="45"/>
      <c r="E65" s="92">
        <f>+VLOOKUP(B65,cennik!$A:$G,3,FALSE)</f>
        <v>5.60419</v>
      </c>
      <c r="F65" s="97">
        <f>+CEILING(D65,1)*E65</f>
        <v>0</v>
      </c>
      <c r="G65" s="93">
        <f>F65</f>
        <v>0</v>
      </c>
      <c r="H65" s="6" t="str">
        <f>cennik!$B$2</f>
        <v>EUR</v>
      </c>
      <c r="I65" s="483" t="str">
        <f>IFERROR(IF((VLOOKUP(B65,cennik!A:L,12,0))="O",texty!$A$250,""),"")</f>
        <v/>
      </c>
      <c r="J65" s="196" t="str">
        <f>IF(D65&gt;0,IF(VLOOKUP(B65,cennik!A:L,12,FALSE)="O",1,""),"")</f>
        <v/>
      </c>
      <c r="K65" s="6"/>
    </row>
    <row r="66" spans="1:13" ht="12.75" customHeight="1">
      <c r="B66" s="172">
        <v>128842</v>
      </c>
      <c r="C66" s="172" t="str">
        <f>VLOOKUP(B66,cennik!A:C,2,0)</f>
        <v>SEVROLL-VRTÁK STUPŇOVITÝ 6,5/9,5mm</v>
      </c>
      <c r="D66" s="45"/>
      <c r="E66" s="92">
        <f>+VLOOKUP(B66,cennik!$A:$G,3,FALSE)</f>
        <v>23.986910000000002</v>
      </c>
      <c r="F66" s="97">
        <f>+CEILING(D66,1)*E66</f>
        <v>0</v>
      </c>
      <c r="G66" s="93">
        <f>F66</f>
        <v>0</v>
      </c>
      <c r="H66" s="6" t="str">
        <f>cennik!$B$2</f>
        <v>EUR</v>
      </c>
      <c r="I66" s="483" t="str">
        <f>IFERROR(IF((VLOOKUP(B66,cennik!A:L,12,0))="O",texty!$A$250,""),"")</f>
        <v/>
      </c>
      <c r="J66" s="196" t="str">
        <f>IF(D66&gt;0,IF(VLOOKUP(B66,cennik!A:L,12,FALSE)="O",1,""),"")</f>
        <v/>
      </c>
      <c r="K66" s="6"/>
    </row>
    <row r="67" spans="1:13" ht="12.75" customHeight="1">
      <c r="A67" s="655" t="str">
        <f>IF(SUM(D50:D51)&gt;0,IF(C7&lt;(B4/3),texty!$A$212,""),"")</f>
        <v/>
      </c>
      <c r="B67" s="655"/>
      <c r="C67" s="655"/>
      <c r="D67" s="655"/>
      <c r="E67" s="655"/>
      <c r="F67" s="655"/>
      <c r="G67" s="655"/>
      <c r="H67" s="655"/>
      <c r="I67" s="655"/>
      <c r="J67" s="135"/>
    </row>
    <row r="68" spans="1:13" ht="12.75" customHeight="1">
      <c r="B68" s="8"/>
      <c r="C68" s="8"/>
      <c r="D68" s="77" t="str">
        <f>texty!$A$15</f>
        <v>CELKOM  (bez DPH)</v>
      </c>
      <c r="E68" s="100"/>
      <c r="F68" s="102">
        <f>SUM(F28:F66)</f>
        <v>192.88018000000002</v>
      </c>
      <c r="G68" s="102">
        <f>SUM(G28:G66)</f>
        <v>192.88018000000002</v>
      </c>
      <c r="H68" s="6" t="str">
        <f>cennik!$B$2</f>
        <v>EUR</v>
      </c>
      <c r="I68" s="186"/>
      <c r="J68" s="186"/>
      <c r="K68" s="5" t="str">
        <f>texty!A128</f>
        <v xml:space="preserve">strieborná </v>
      </c>
    </row>
    <row r="69" spans="1:13" ht="12.75" customHeight="1">
      <c r="A69" s="76" t="str">
        <f>System10!$A$67</f>
        <v>Vaša poznámka:</v>
      </c>
      <c r="B69" s="665"/>
      <c r="C69" s="666"/>
      <c r="D69" s="666"/>
      <c r="E69" s="666"/>
      <c r="F69" s="666"/>
      <c r="G69" s="666"/>
      <c r="K69" s="5" t="str">
        <f>texty!A130</f>
        <v>oliva</v>
      </c>
    </row>
    <row r="70" spans="1:13" ht="12.75" customHeight="1">
      <c r="A70" s="657">
        <f>profil!$U$15</f>
        <v>0</v>
      </c>
      <c r="B70" s="658"/>
      <c r="C70" s="658"/>
      <c r="D70" s="658"/>
      <c r="E70" s="658"/>
      <c r="F70" s="658"/>
      <c r="G70" s="658"/>
    </row>
    <row r="71" spans="1:13" ht="12.75" customHeight="1">
      <c r="A71" s="659" t="str">
        <f>IF(M71=1,texty!$A$215,IF(J71&gt;0,texty!$A$214,""))</f>
        <v>některé položky sú na objednávku, počítajte prosím s dodaciou  lehotou  do 5 týždnov</v>
      </c>
      <c r="B71" s="659"/>
      <c r="C71" s="659"/>
      <c r="D71" s="659"/>
      <c r="E71" s="659"/>
      <c r="F71" s="659"/>
      <c r="G71" s="659"/>
      <c r="J71" s="6">
        <f>SUM(J28:J66)</f>
        <v>3</v>
      </c>
      <c r="M71" s="5">
        <f>IF(ISERROR(J71),1,0)</f>
        <v>0</v>
      </c>
    </row>
    <row r="72" spans="1:13" ht="12.75" customHeight="1"/>
    <row r="73" spans="1:13" ht="12.75" customHeight="1"/>
    <row r="84" spans="1:1" ht="12.75" hidden="1" customHeight="1">
      <c r="A84" s="5">
        <v>3</v>
      </c>
    </row>
    <row r="85" spans="1:1" ht="12.75" customHeight="1"/>
    <row r="86" spans="1:1" ht="12.75" customHeight="1"/>
    <row r="87" spans="1:1" ht="12.75" customHeight="1"/>
    <row r="88" spans="1:1" ht="12.75" customHeight="1"/>
  </sheetData>
  <sheetProtection algorithmName="SHA-512" hashValue="5p7aBD/JKQ8XQGjPh+pirymptsftmM2VU5KH3qaUpfW5P5Z22ROaUaANHQ8MVvtyjpC00I8tA5r+JtwFUG/OvA==" saltValue="QtiUJipvSnOi5coQ0F/2IQ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D6">
    <cfRule type="expression" dxfId="179" priority="5">
      <formula>$D$4=4</formula>
    </cfRule>
    <cfRule type="expression" dxfId="178" priority="6">
      <formula>$D$4&lt;&gt;4</formula>
    </cfRule>
  </conditionalFormatting>
  <conditionalFormatting sqref="F4:I6">
    <cfRule type="expression" dxfId="177" priority="4">
      <formula>$D$4=4</formula>
    </cfRule>
  </conditionalFormatting>
  <conditionalFormatting sqref="A14">
    <cfRule type="expression" dxfId="176" priority="3">
      <formula>SUM($D$48:$D$49)&gt;0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5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0BB1C71-5D4E-4ECB-A374-9D51B512E2E2}">
            <xm:f>$I28=texty!$A$250</xm:f>
            <x14:dxf>
              <font>
                <color rgb="FFFF0000"/>
              </font>
            </x14:dxf>
          </x14:cfRule>
          <xm:sqref>I28:I66</xm:sqref>
        </x14:conditionalFormatting>
        <x14:conditionalFormatting xmlns:xm="http://schemas.microsoft.com/office/excel/2006/main">
          <x14:cfRule type="expression" priority="1" id="{C1479BDF-F43B-4AC8-9EA8-B58ABFA4D2A6}">
            <xm:f>$I28=texty!$A$250</xm:f>
            <x14:dxf>
              <font>
                <color rgb="FFFF0000"/>
              </font>
            </x14:dxf>
          </x14:cfRule>
          <xm:sqref>A28:H66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83"/>
  <sheetViews>
    <sheetView showGridLines="0" zoomScale="85" zoomScaleNormal="85" workbookViewId="0">
      <selection activeCell="E4" sqref="E4"/>
    </sheetView>
  </sheetViews>
  <sheetFormatPr baseColWidth="10" defaultColWidth="0" defaultRowHeight="0" customHeight="1" zeroHeight="1"/>
  <cols>
    <col min="1" max="1" width="40.5" style="5" customWidth="1"/>
    <col min="2" max="2" width="15.83203125" style="5" customWidth="1"/>
    <col min="3" max="3" width="63.83203125" style="5" bestFit="1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7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21" width="0" style="5" hidden="1" customWidth="1"/>
    <col min="22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-8.25</v>
      </c>
    </row>
    <row r="2" spans="1:21" ht="18.75" customHeight="1">
      <c r="A2" s="538" t="s">
        <v>2929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",5,".",61)</f>
        <v>katalóg kovania 2018 str. 5.61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+B4-35</f>
        <v>-35</v>
      </c>
      <c r="C7" s="59">
        <f>+((C4-3+30*(D4-1))/D4+IF(AND(D4=4,D6=2),L1,0))</f>
        <v>19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+System10!A8</f>
        <v>rozmer výplne 10 mm:</v>
      </c>
      <c r="B8" s="57">
        <f>+B7-65</f>
        <v>-100</v>
      </c>
      <c r="C8" s="59">
        <f>+C7-17</f>
        <v>2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-9.2000000000000028</v>
      </c>
      <c r="R8" s="5">
        <f>FLOOR(1500/Q8,1)</f>
        <v>-164</v>
      </c>
      <c r="S8" s="5">
        <f>FLOOR(2000/Q8,1)</f>
        <v>-218</v>
      </c>
      <c r="T8" s="5">
        <f>FLOOR(3000/Q8,1)</f>
        <v>-327</v>
      </c>
    </row>
    <row r="9" spans="1:21" ht="12.75" customHeight="1">
      <c r="A9" s="10" t="str">
        <f>+System10!A9</f>
        <v>rozmer zrkadla / skla</v>
      </c>
      <c r="B9" s="57">
        <f>+B8</f>
        <v>-100</v>
      </c>
      <c r="C9" s="59">
        <f>+C8-4</f>
        <v>-2</v>
      </c>
      <c r="D9" s="8"/>
      <c r="E9" s="8"/>
      <c r="F9" s="50" t="str">
        <f>texty!$A$41</f>
        <v>alebo sklo zabezpečiť ochrannou fóliou</v>
      </c>
      <c r="G9" s="6"/>
      <c r="K9" s="37">
        <f>C10*D4</f>
        <v>-42.600000000000009</v>
      </c>
      <c r="L9" s="36">
        <f>(D4+1)*5</f>
        <v>20</v>
      </c>
      <c r="P9" s="5">
        <v>2</v>
      </c>
      <c r="Q9" s="164">
        <f t="shared" ref="Q9:Q14" si="0">Q8+$C$10+5</f>
        <v>-18.400000000000006</v>
      </c>
      <c r="R9" s="5">
        <f>(1500-C10)*R19</f>
        <v>-1514.2</v>
      </c>
      <c r="S9" s="5">
        <f>(2000-C10)*S19</f>
        <v>-2014.2</v>
      </c>
      <c r="T9" s="5">
        <f>(3000-C10)*T19</f>
        <v>-3014.2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+C7-33.2</f>
        <v>-14.200000000000003</v>
      </c>
      <c r="D10" s="8"/>
      <c r="E10" s="8"/>
      <c r="F10" s="3" t="str">
        <f>texty!$A$44</f>
        <v>Maximálna hmotnosť krídla je 35 kg</v>
      </c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-27.600000000000009</v>
      </c>
    </row>
    <row r="11" spans="1:21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-36.800000000000011</v>
      </c>
    </row>
    <row r="12" spans="1:21" ht="12.75" customHeight="1">
      <c r="A12" s="10" t="str">
        <f>+System10!A12</f>
        <v>úchytková lišta</v>
      </c>
      <c r="B12" s="502">
        <f>+B7</f>
        <v>-35</v>
      </c>
      <c r="C12" s="503"/>
      <c r="D12" s="8"/>
      <c r="E12" s="8"/>
      <c r="F12" s="6"/>
      <c r="G12" s="6"/>
      <c r="K12" s="6">
        <f>C10*(D4-1)+(D4*5)</f>
        <v>-13.400000000000006</v>
      </c>
      <c r="L12" s="5">
        <f>IF(K12&lt;1500,1500,IF(K12&lt;2000,2000,IF(K12&lt;3000,3000,3000)))</f>
        <v>1500</v>
      </c>
      <c r="M12" s="5">
        <f>L12-K12</f>
        <v>1513.4</v>
      </c>
      <c r="P12" s="5">
        <v>5</v>
      </c>
      <c r="Q12" s="164">
        <f t="shared" si="0"/>
        <v>-46.000000000000014</v>
      </c>
    </row>
    <row r="13" spans="1:21" ht="12.75" customHeight="1">
      <c r="A13" s="7" t="str">
        <f>System10!A13</f>
        <v>Dĺžka tesnenia na sklo na jednom krídle</v>
      </c>
      <c r="B13" s="58"/>
      <c r="C13" s="145">
        <f>ROUND(B8*2+C9*2,0)</f>
        <v>-204</v>
      </c>
      <c r="D13" s="8"/>
      <c r="E13" s="8"/>
      <c r="F13" s="6"/>
      <c r="G13" s="6"/>
      <c r="K13" s="35">
        <f>C10+10</f>
        <v>-4.2000000000000028</v>
      </c>
      <c r="L13" s="5">
        <f>IF(M12&gt;=0,IF(K13&lt;1500,1500,IF(K13&lt;2000,2000,IF(K13&lt;3000,3000,"jiné"))),IF((K13+C10)&lt;1500,1500,IF((K13+C10)&lt;2000,2000,IF((K13+C10)&lt;3000,3000,"jiné"))))</f>
        <v>1500</v>
      </c>
      <c r="M13" s="5">
        <f>L13-K13</f>
        <v>1504.2</v>
      </c>
      <c r="P13" s="5">
        <v>6</v>
      </c>
      <c r="Q13" s="164">
        <f t="shared" si="0"/>
        <v>-55.200000000000017</v>
      </c>
    </row>
    <row r="14" spans="1:21" ht="13">
      <c r="A14" s="644" t="str">
        <f>IF(SUM(D50:D51)&gt;0,texty!A247,"")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6"/>
      <c r="G14" s="6"/>
      <c r="K14" s="6"/>
      <c r="L14" s="5">
        <f>SUM(L12:L13)</f>
        <v>3000</v>
      </c>
      <c r="M14" s="5">
        <f>SUM(M12:M13)</f>
        <v>3017.6000000000004</v>
      </c>
      <c r="P14" s="5">
        <v>7</v>
      </c>
      <c r="Q14" s="164">
        <f t="shared" si="0"/>
        <v>-64.40000000000002</v>
      </c>
    </row>
    <row r="15" spans="1:21" ht="13">
      <c r="A15" s="644"/>
      <c r="B15" s="644"/>
      <c r="C15" s="504"/>
      <c r="D15" s="8"/>
      <c r="E15" s="8"/>
      <c r="F15" s="6"/>
      <c r="G15" s="6"/>
      <c r="K15" s="6"/>
      <c r="Q15" s="164"/>
    </row>
    <row r="16" spans="1:21" ht="20" customHeight="1">
      <c r="A16" s="644" t="str">
        <f>IF(SUM(D52:D53)&gt;0,texty!A248,"")</f>
        <v/>
      </c>
      <c r="B16" s="644"/>
      <c r="C16" s="504"/>
      <c r="D16" s="8"/>
      <c r="E16" s="8"/>
      <c r="F16" s="6"/>
      <c r="G16" s="6"/>
      <c r="K16" s="6"/>
      <c r="Q16" s="164"/>
    </row>
    <row r="17" spans="1:21" ht="20" customHeight="1">
      <c r="A17" s="644"/>
      <c r="B17" s="644"/>
      <c r="C17" s="504"/>
      <c r="D17" s="8"/>
      <c r="E17" s="8"/>
      <c r="F17" s="6"/>
      <c r="G17" s="6"/>
      <c r="K17" s="6"/>
      <c r="Q17" s="164"/>
    </row>
    <row r="18" spans="1:21" ht="13">
      <c r="A18" s="436"/>
      <c r="B18" s="17"/>
      <c r="C18" s="504"/>
      <c r="D18" s="8"/>
      <c r="E18" s="8"/>
      <c r="F18" s="6"/>
      <c r="G18" s="6"/>
      <c r="K18" s="6"/>
      <c r="Q18" s="164"/>
    </row>
    <row r="19" spans="1:21" ht="12.75" customHeight="1">
      <c r="B19" s="17"/>
      <c r="C19" s="447"/>
      <c r="D19" s="8"/>
      <c r="E19" s="8"/>
      <c r="F19" s="6"/>
      <c r="G19" s="6"/>
      <c r="K19" s="6"/>
      <c r="L19" s="5">
        <f>L14-C4</f>
        <v>3000</v>
      </c>
      <c r="P19" s="5" t="s">
        <v>650</v>
      </c>
      <c r="R19" s="5">
        <f>FLOOR($D$4/R8,1)</f>
        <v>-1</v>
      </c>
      <c r="S19" s="5">
        <f>FLOOR($D$4/S8,1)</f>
        <v>-1</v>
      </c>
      <c r="T19" s="5">
        <f>FLOOR($D$4/T8,1)</f>
        <v>-1</v>
      </c>
    </row>
    <row r="20" spans="1:21" ht="12.75" customHeight="1">
      <c r="A20" s="436"/>
      <c r="B20" s="17"/>
      <c r="C20" s="447"/>
      <c r="D20" s="8"/>
      <c r="E20" s="8"/>
      <c r="F20" s="6"/>
      <c r="G20" s="6"/>
      <c r="K20" s="6"/>
    </row>
    <row r="21" spans="1:21" ht="14.25" customHeight="1">
      <c r="A21" s="436"/>
      <c r="C21" s="120"/>
      <c r="D21" s="8"/>
      <c r="E21" s="8"/>
      <c r="F21" s="6"/>
      <c r="G21" s="6"/>
      <c r="K21" s="6"/>
    </row>
    <row r="22" spans="1:21" ht="16.5" customHeight="1">
      <c r="A22" s="147"/>
      <c r="B22" s="498" t="str">
        <f>texty!A242</f>
        <v>dilatácia 4 mm</v>
      </c>
      <c r="C22" s="8"/>
      <c r="E22" s="8"/>
      <c r="F22" s="6"/>
      <c r="G22" s="6"/>
      <c r="K22" s="6"/>
      <c r="L22" s="6"/>
      <c r="Q22" s="5" t="s">
        <v>694</v>
      </c>
      <c r="R22" s="5" t="s">
        <v>693</v>
      </c>
      <c r="S22" s="5">
        <v>1500</v>
      </c>
      <c r="T22" s="5">
        <v>2000</v>
      </c>
      <c r="U22" s="5">
        <v>3000</v>
      </c>
    </row>
    <row r="23" spans="1:21" ht="16.5" customHeight="1">
      <c r="A23" s="216"/>
      <c r="B23" s="8"/>
      <c r="C23" s="8"/>
      <c r="D23" s="13"/>
      <c r="E23" s="8"/>
      <c r="F23" s="6"/>
      <c r="G23" s="6"/>
      <c r="K23" s="6"/>
      <c r="P23" s="5">
        <v>1</v>
      </c>
      <c r="Q23" s="5">
        <f>R8</f>
        <v>-164</v>
      </c>
      <c r="R23" s="5" t="str">
        <f>IF(Q23&gt;=D4,1,"")</f>
        <v/>
      </c>
      <c r="S23" s="168" t="str">
        <f>IF(R23=1,1,"")</f>
        <v/>
      </c>
      <c r="T23" s="168"/>
      <c r="U23" s="168"/>
    </row>
    <row r="24" spans="1:21" ht="12.75" customHeight="1">
      <c r="A24" s="7"/>
      <c r="B24" s="8"/>
      <c r="C24" s="8"/>
      <c r="D24" s="8"/>
      <c r="E24" s="8"/>
      <c r="F24" s="6"/>
      <c r="G24" s="6"/>
      <c r="K24" s="3"/>
      <c r="P24" s="5">
        <v>2</v>
      </c>
      <c r="Q24" s="5">
        <f>S8</f>
        <v>-218</v>
      </c>
      <c r="R24" s="5" t="str">
        <f>IF(Q24&gt;=D4,IF(R23=1,"",1),"")</f>
        <v/>
      </c>
      <c r="S24" s="168"/>
      <c r="T24" s="168" t="str">
        <f>IF(R24=1,1,"")</f>
        <v/>
      </c>
      <c r="U24" s="168"/>
    </row>
    <row r="25" spans="1:21" ht="12.75" customHeight="1">
      <c r="A25" s="7"/>
      <c r="B25" s="8"/>
      <c r="C25" s="8"/>
      <c r="D25" s="8"/>
      <c r="E25" s="8"/>
      <c r="F25" s="6"/>
      <c r="G25" s="6"/>
      <c r="P25" s="5">
        <v>3</v>
      </c>
      <c r="Q25" s="5">
        <f>T8</f>
        <v>-327</v>
      </c>
      <c r="R25" s="5" t="str">
        <f>IF(Q25&gt;=D4,IF(Q24&gt;=D4,"",1),"")</f>
        <v/>
      </c>
      <c r="U25" s="168" t="str">
        <f>IF(R25=1,1,"")</f>
        <v/>
      </c>
    </row>
    <row r="26" spans="1:21" ht="12.75" customHeight="1">
      <c r="A26" s="7"/>
      <c r="B26" s="8"/>
      <c r="C26" s="8"/>
      <c r="D26" s="8"/>
      <c r="E26" s="8"/>
      <c r="F26" s="6"/>
      <c r="G26" s="6"/>
      <c r="K26" s="5" t="str">
        <f>CONCATENATE(M26,"-",$O$7)</f>
        <v xml:space="preserve">1500-strieborná </v>
      </c>
      <c r="L26" s="6">
        <f>SUM(S23:S35)</f>
        <v>0</v>
      </c>
      <c r="M26" s="5">
        <v>1500</v>
      </c>
      <c r="O26" s="5" t="s">
        <v>652</v>
      </c>
      <c r="P26" s="167" t="s">
        <v>653</v>
      </c>
      <c r="Q26" s="5">
        <f>R8+S8</f>
        <v>-382</v>
      </c>
      <c r="R26" s="5" t="str">
        <f>IF(Q26&gt;=D4,IF(SUM(R23:R25)&gt;0,"",1),"")</f>
        <v/>
      </c>
      <c r="S26" s="168" t="str">
        <f>IF(R26=1,1,"")</f>
        <v/>
      </c>
      <c r="T26" s="168" t="str">
        <f>IF(R26=1,1,"")</f>
        <v/>
      </c>
    </row>
    <row r="27" spans="1:21" ht="12.75" customHeight="1">
      <c r="A27" s="7"/>
      <c r="B27" s="8"/>
      <c r="D27" s="8"/>
      <c r="E27" s="8"/>
      <c r="F27" s="8"/>
      <c r="G27" s="131" t="str">
        <f>+System10!G25</f>
        <v>partnerská zľava:</v>
      </c>
      <c r="K27" s="5" t="str">
        <f>CONCATENATE(M27,"-",$O$7)</f>
        <v xml:space="preserve">2000-strieborná </v>
      </c>
      <c r="L27" s="6">
        <f>SUM(T23:T35)</f>
        <v>0</v>
      </c>
      <c r="M27" s="5">
        <v>2000</v>
      </c>
      <c r="P27" s="5" t="s">
        <v>689</v>
      </c>
      <c r="Q27" s="5">
        <f>S8+S8</f>
        <v>-436</v>
      </c>
      <c r="R27" s="5" t="str">
        <f>IF(Q27&gt;=D4,IF(SUM(R23:R26)&gt;0,"",1),"")</f>
        <v/>
      </c>
      <c r="T27" s="168" t="str">
        <f>IF(R27=1,2,"")</f>
        <v/>
      </c>
    </row>
    <row r="28" spans="1:21" ht="12.75" customHeight="1">
      <c r="A28" s="14" t="str">
        <f>+System10!A26</f>
        <v>Objednávacie kódy, ceny:</v>
      </c>
      <c r="B28" s="8"/>
      <c r="D28" s="8"/>
      <c r="E28" s="8"/>
      <c r="F28" s="8"/>
      <c r="G28" s="143">
        <f>profil!C15</f>
        <v>0</v>
      </c>
      <c r="H28" s="28"/>
      <c r="K28" s="5" t="str">
        <f>CONCATENATE(M28,"-",$O$7)</f>
        <v xml:space="preserve">3000-strieborná </v>
      </c>
      <c r="L28" s="6">
        <f>SUM(U23:U35)</f>
        <v>0</v>
      </c>
      <c r="M28" s="5">
        <v>3000</v>
      </c>
      <c r="N28" s="165"/>
      <c r="P28" s="5" t="s">
        <v>654</v>
      </c>
      <c r="Q28" s="5">
        <f>R8+T8</f>
        <v>-491</v>
      </c>
      <c r="R28" s="5" t="str">
        <f>IF(Q28&gt;=D4,IF(SUM(R23:R27)&gt;0,"",1),"")</f>
        <v/>
      </c>
      <c r="S28" s="168" t="str">
        <f>IF(R28=1,1,"")</f>
        <v/>
      </c>
      <c r="U28" s="168" t="str">
        <f>IF(R28=1,1,"")</f>
        <v/>
      </c>
    </row>
    <row r="29" spans="1:21" ht="12.75" customHeight="1">
      <c r="A29" s="7"/>
      <c r="B29" s="19" t="str">
        <f>+System10!B27</f>
        <v>kód</v>
      </c>
      <c r="C29" s="18" t="str">
        <f>+System10!C27</f>
        <v>názov</v>
      </c>
      <c r="D29" s="19" t="str">
        <f>+System10!D27</f>
        <v>ks</v>
      </c>
      <c r="E29" s="19" t="str">
        <f>+System10!E27</f>
        <v>cena/ks</v>
      </c>
      <c r="F29" s="19" t="str">
        <f>+System10!F27</f>
        <v>cena celkom</v>
      </c>
      <c r="G29" s="20" t="str">
        <f>+System10!G27</f>
        <v>celkom netto:</v>
      </c>
      <c r="I29" s="18" t="str">
        <f>texty!A29</f>
        <v>Poznámka:</v>
      </c>
      <c r="J29" s="18"/>
      <c r="K29" s="6"/>
      <c r="L29" s="5">
        <f>COUNT(L26,L27,L28)</f>
        <v>3</v>
      </c>
      <c r="M29" s="165"/>
      <c r="N29" s="165"/>
      <c r="P29" s="5" t="s">
        <v>655</v>
      </c>
      <c r="Q29" s="5">
        <f>S8+T8</f>
        <v>-545</v>
      </c>
      <c r="R29" s="5" t="str">
        <f>IF(Q29&gt;=D4,IF(SUM(R23:R28)&gt;0,"",1),"")</f>
        <v/>
      </c>
      <c r="T29" s="168" t="str">
        <f>IF(R29=1,1,"")</f>
        <v/>
      </c>
      <c r="U29" s="168" t="str">
        <f>IF(R29=1,1,"")</f>
        <v/>
      </c>
    </row>
    <row r="30" spans="1:21" ht="12.75" customHeight="1">
      <c r="A30" s="7" t="str">
        <f>+System10!A28</f>
        <v>Horný profil:</v>
      </c>
      <c r="B30" s="16">
        <f>+VLOOKUP(N5,data!$C$226:$D$239,2,0)</f>
        <v>349796</v>
      </c>
      <c r="C30" s="25" t="str">
        <f>+VLOOKUP(B30,cennik!$A:$G,2,FALSE)</f>
        <v/>
      </c>
      <c r="D30" s="17">
        <v>1</v>
      </c>
      <c r="E30" s="92">
        <f>+VLOOKUP(B30,cennik!$A:$G,3,FALSE)</f>
        <v>14.659420000000001</v>
      </c>
      <c r="F30" s="92">
        <f>+E30*D30</f>
        <v>14.659420000000001</v>
      </c>
      <c r="G30" s="93">
        <f>+F30*(100-$G$28)/100</f>
        <v>14.659420000000001</v>
      </c>
      <c r="H30" s="6" t="str">
        <f>cennik!$B$2</f>
        <v>EUR</v>
      </c>
      <c r="I30" s="483" t="str">
        <f>IFERROR(IF((VLOOKUP(B30,cennik!A:L,12,0))="O",texty!$A$250,""),"")</f>
        <v>Na objednávku</v>
      </c>
      <c r="J30" s="196">
        <f>IF(D30&gt;0,IF(VLOOKUP(B30,cennik!A:L,12,FALSE)="O",1,""),"")</f>
        <v>1</v>
      </c>
      <c r="K30" s="6"/>
      <c r="L30" s="165"/>
      <c r="M30" s="165"/>
      <c r="N30" s="165"/>
      <c r="P30" s="5" t="s">
        <v>690</v>
      </c>
      <c r="Q30" s="5">
        <f>T8+T8</f>
        <v>-654</v>
      </c>
      <c r="R30" s="5" t="str">
        <f>IF(Q30&gt;=D4,IF(SUM(R23:R29)&gt;0,"",1),"")</f>
        <v/>
      </c>
      <c r="U30" s="168" t="str">
        <f>IF(R30=1,2,"")</f>
        <v/>
      </c>
    </row>
    <row r="31" spans="1:21" ht="12.75" customHeight="1">
      <c r="A31" s="7" t="str">
        <f>+System10!A29</f>
        <v>spodný profil:</v>
      </c>
      <c r="B31" s="16">
        <f>+VLOOKUP(N5,data!$C$242:$D$255,2,0)</f>
        <v>349810</v>
      </c>
      <c r="C31" s="25" t="str">
        <f>+VLOOKUP(B31,cennik!$A:$G,2,FALSE)</f>
        <v/>
      </c>
      <c r="D31" s="17">
        <v>1</v>
      </c>
      <c r="E31" s="92">
        <f>+VLOOKUP(B31,cennik!$A:$G,3,FALSE)</f>
        <v>7.5749399999999998</v>
      </c>
      <c r="F31" s="92">
        <f>+E31*D31</f>
        <v>7.5749399999999998</v>
      </c>
      <c r="G31" s="93">
        <f>+F31*(100-$G$28)/100</f>
        <v>7.5749400000000007</v>
      </c>
      <c r="H31" s="6" t="str">
        <f>cennik!$B$2</f>
        <v>EUR</v>
      </c>
      <c r="I31" s="483" t="str">
        <f>IFERROR(IF((VLOOKUP(B31,cennik!A:L,12,0))="O",texty!$A$250,""),"")</f>
        <v>Na objednávku</v>
      </c>
      <c r="J31" s="196">
        <f>IF(D31&gt;0,IF(VLOOKUP(B31,cennik!A:L,12,FALSE)="O",1,""),"")</f>
        <v>1</v>
      </c>
      <c r="K31" s="6" t="s">
        <v>656</v>
      </c>
      <c r="L31" s="5" t="str">
        <f>IF(L26=0,IF(L27=0,K28,K27),K26)</f>
        <v xml:space="preserve">3000-strieborná </v>
      </c>
      <c r="M31" s="165">
        <f>IF(L31=K26,L26,IF(L31=K27,L27,IF(L31=K28,L28,"chyba")))</f>
        <v>0</v>
      </c>
      <c r="N31" s="165"/>
      <c r="O31" s="165"/>
      <c r="P31" s="5" t="s">
        <v>691</v>
      </c>
      <c r="Q31" s="5">
        <f>R8+R8+R8</f>
        <v>-492</v>
      </c>
      <c r="R31" s="5" t="str">
        <f>IF(Q31&gt;=D4,IF(SUM(R23:R30)&gt;0,"",1),"")</f>
        <v/>
      </c>
      <c r="S31" s="168" t="str">
        <f>IF(R31=1,3,"")</f>
        <v/>
      </c>
    </row>
    <row r="32" spans="1:21" ht="12.75" customHeight="1">
      <c r="A32" s="7" t="str">
        <f>texty!$A$210</f>
        <v>záslepko spodného vedenia</v>
      </c>
      <c r="B32" s="16">
        <v>216362</v>
      </c>
      <c r="C32" s="25" t="str">
        <f>+VLOOKUP(B32,cennik!$A:$G,2,FALSE)</f>
        <v>SEVROLL záslepka spodného vedenia Simple</v>
      </c>
      <c r="D32" s="17">
        <f>CEILING(C4/1000,1)</f>
        <v>0</v>
      </c>
      <c r="E32" s="92">
        <f>+VLOOKUP(B32,cennik!$A:$G,3,FALSE)</f>
        <v>1.1716599999999999</v>
      </c>
      <c r="F32" s="92">
        <f>+E32*D32</f>
        <v>0</v>
      </c>
      <c r="G32" s="93">
        <f>+F32*(100-$G$28)/100</f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M32" s="165"/>
      <c r="N32" s="165"/>
      <c r="O32" s="165"/>
      <c r="S32" s="168"/>
    </row>
    <row r="33" spans="1:21" ht="12.75" customHeight="1">
      <c r="A33" s="7" t="str">
        <f>+System10!A31</f>
        <v>horné vozíky (sady)</v>
      </c>
      <c r="B33" s="16">
        <v>349942</v>
      </c>
      <c r="C33" s="25" t="str">
        <f>+VLOOKUP(B33,cennik!$A:$G,2,FALSE)</f>
        <v>SEVROLL horný vozík Blue 10mm asymetrický (L</v>
      </c>
      <c r="D33" s="17">
        <f>+D4</f>
        <v>3</v>
      </c>
      <c r="E33" s="92">
        <f>+VLOOKUP(B33,cennik!$A:$G,3,FALSE)</f>
        <v>3.8147199999999999</v>
      </c>
      <c r="F33" s="92">
        <f>+E33*D33</f>
        <v>11.44416</v>
      </c>
      <c r="G33" s="93">
        <f>+F33*(100-$G$28)/100</f>
        <v>11.44416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 t="s">
        <v>657</v>
      </c>
      <c r="L33" s="5" t="str">
        <f>IF(L31=K28,"jiné",IF(L31=K26,IF(L27&lt;&gt;0,K27,IF(L28&lt;&gt;0,K28,"jiné")),IF(L28&lt;&gt;0,K28,"jiné")))</f>
        <v>jiné</v>
      </c>
      <c r="M33" s="165">
        <f>IF(L33=K27,L27,IF(L33=K28,L28,IF(L33=K29,L29,0)))</f>
        <v>0</v>
      </c>
      <c r="N33" s="165"/>
      <c r="O33" s="165"/>
      <c r="P33" s="5" t="s">
        <v>658</v>
      </c>
      <c r="Q33" s="5">
        <f>R8+2*S8</f>
        <v>-600</v>
      </c>
      <c r="R33" s="5" t="str">
        <f>IF(Q33&gt;=D4,IF(SUM(R23:R31)&gt;0,"",1),"")</f>
        <v/>
      </c>
      <c r="S33" s="168" t="str">
        <f>IF(R33=1,1,"")</f>
        <v/>
      </c>
      <c r="T33" s="168" t="str">
        <f>IF(R33=1,2,"")</f>
        <v/>
      </c>
    </row>
    <row r="34" spans="1:21" ht="12.75" customHeight="1">
      <c r="A34" s="7" t="str">
        <f>+System10!A32</f>
        <v>spodné vozíky (sada)</v>
      </c>
      <c r="B34" s="16">
        <v>229446</v>
      </c>
      <c r="C34" s="25" t="str">
        <f>+VLOOKUP(B34,cennik!$A:$G,2,FALSE)</f>
        <v>SEVROLL spodný vozík Simple/Blue V (rámový s</v>
      </c>
      <c r="D34" s="17">
        <f>+D4</f>
        <v>3</v>
      </c>
      <c r="E34" s="92">
        <f>+VLOOKUP(B34,cennik!$A:$G,3,FALSE)</f>
        <v>2.86104</v>
      </c>
      <c r="F34" s="92">
        <f>+E34*D34</f>
        <v>8.583120000000001</v>
      </c>
      <c r="G34" s="93">
        <f>+F34*(100-$G$28)/100</f>
        <v>8.583120000000001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6"/>
      <c r="L34" s="165"/>
      <c r="M34" s="165"/>
      <c r="N34" s="165"/>
      <c r="O34" s="165"/>
      <c r="P34" s="5" t="s">
        <v>692</v>
      </c>
      <c r="Q34" s="5">
        <f>S8+S8+S8</f>
        <v>-654</v>
      </c>
      <c r="R34" s="5" t="str">
        <f>IF(Q34&gt;=D4,IF(SUM(R23:R33)&gt;0,"",1),"")</f>
        <v/>
      </c>
      <c r="T34" s="168" t="str">
        <f>IF(R34=1,3,"")</f>
        <v/>
      </c>
    </row>
    <row r="35" spans="1:21" ht="12.75" customHeight="1">
      <c r="A35" s="7" t="str">
        <f>+System10!A33</f>
        <v>dorazový kartáč</v>
      </c>
      <c r="B35" s="16">
        <v>98067</v>
      </c>
      <c r="C35" s="25" t="str">
        <f>+VLOOKUP(B35,cennik!$A:$G,2,FALSE)</f>
        <v>SEVROLL dorazový kartáč zásuvný 14,5x4mm</v>
      </c>
      <c r="D35" s="17">
        <f>CEILING((B4*D4*2/1000),1)</f>
        <v>0</v>
      </c>
      <c r="E35" s="92">
        <f>+VLOOKUP(B35,cennik!$A:$G,3,FALSE)</f>
        <v>0.17649000000000001</v>
      </c>
      <c r="F35" s="92">
        <f t="shared" ref="F35:F41" si="1">+E35*D35</f>
        <v>0</v>
      </c>
      <c r="G35" s="93">
        <f t="shared" ref="G35:G41" si="2">+F35*(100-$G$28)/100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6" t="str">
        <f>CONCATENATE(3000,"-",E4)</f>
        <v xml:space="preserve">3000-strieborná </v>
      </c>
      <c r="L35" s="165"/>
      <c r="M35" s="165"/>
      <c r="N35" s="165"/>
      <c r="O35" s="165"/>
      <c r="P35" s="5" t="s">
        <v>659</v>
      </c>
      <c r="Q35" s="5">
        <f>R8+2*T8</f>
        <v>-818</v>
      </c>
      <c r="R35" s="5" t="str">
        <f>IF(Q35&gt;=D4,IF(SUM(R23:R34)&gt;0,"",1),"")</f>
        <v/>
      </c>
      <c r="S35" s="168" t="str">
        <f>IF(R35=1,1,"")</f>
        <v/>
      </c>
      <c r="U35" s="168" t="str">
        <f>IF(R35=1,2,"")</f>
        <v/>
      </c>
    </row>
    <row r="36" spans="1:21" ht="12.75" customHeight="1">
      <c r="A36" s="7" t="str">
        <f>+System10!A34</f>
        <v>úchytková lišta</v>
      </c>
      <c r="B36" s="16">
        <f>+VLOOKUP(O7,data!$C$445:$D$446,2,0)</f>
        <v>215233</v>
      </c>
      <c r="C36" s="25" t="str">
        <f>+VLOOKUP(B36,cennik!$A:$G,2,FALSE)</f>
        <v>SEVROLL Fala úch.lišta 10mm 2,70m strieborná</v>
      </c>
      <c r="D36" s="17">
        <f>IF(B12&lt;=1347,D4*2/2,D4*2)</f>
        <v>3</v>
      </c>
      <c r="E36" s="92">
        <f>+VLOOKUP(B36,cennik!$A:$G,3,FALSE)</f>
        <v>13.160780000000001</v>
      </c>
      <c r="F36" s="92">
        <f t="shared" si="1"/>
        <v>39.482340000000001</v>
      </c>
      <c r="G36" s="93">
        <f t="shared" si="2"/>
        <v>39.482340000000001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 t="s">
        <v>988</v>
      </c>
    </row>
    <row r="37" spans="1:21" ht="12.75" customHeight="1">
      <c r="A37" s="7" t="str">
        <f>+System10!A35</f>
        <v>spojovacia skrutka</v>
      </c>
      <c r="B37" s="6">
        <v>89244</v>
      </c>
      <c r="C37" s="25" t="str">
        <f>+VLOOKUP(B37,cennik!$A:$G,2,FALSE)</f>
        <v>SEVROLL šroubovrut 6,3*32 -Sevroll a Simple</v>
      </c>
      <c r="D37" s="17">
        <f>+D4*4</f>
        <v>12</v>
      </c>
      <c r="E37" s="92">
        <f>+VLOOKUP(B37,cennik!$A:$G,3,FALSE)</f>
        <v>0.14462</v>
      </c>
      <c r="F37" s="92">
        <f t="shared" si="1"/>
        <v>1.7354400000000001</v>
      </c>
      <c r="G37" s="93">
        <f t="shared" si="2"/>
        <v>1.7354400000000001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162">
        <f>(C10*D4)+(D4-1)*5</f>
        <v>-32.600000000000009</v>
      </c>
    </row>
    <row r="38" spans="1:21" ht="12.75" customHeight="1">
      <c r="A38" s="7" t="str">
        <f>+System10!$A$36</f>
        <v>horný profil rámu (vodiaca lišta)</v>
      </c>
      <c r="B38" s="16">
        <f>+VLOOKUP(L31,data!C296:D301,2,0)</f>
        <v>222573</v>
      </c>
      <c r="C38" s="25" t="e">
        <f>+VLOOKUP(B38,cennik!$A$3:$G$701,2,FALSE)</f>
        <v>#N/A</v>
      </c>
      <c r="D38" s="65">
        <f>M31</f>
        <v>0</v>
      </c>
      <c r="E38" s="92">
        <f>+VLOOKUP(B38,cennik!$A:$G,3,FALSE)</f>
        <v>13.84198</v>
      </c>
      <c r="F38" s="92">
        <f t="shared" si="1"/>
        <v>0</v>
      </c>
      <c r="G38" s="93">
        <f t="shared" si="2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/>
    </row>
    <row r="39" spans="1:21" ht="12.75" customHeight="1">
      <c r="A39" s="7" t="str">
        <f>+System10!$A$36</f>
        <v>horný profil rámu (vodiaca lišta)</v>
      </c>
      <c r="B39" s="6" t="str">
        <f>IF(L33&lt;&gt;"jiné",+VLOOKUP(L33,data!C296:D301,2,0),"")</f>
        <v/>
      </c>
      <c r="C39" s="38" t="str">
        <f>IF(L33&lt;&gt;"jiné",+VLOOKUP(B39,cennik!$A$3:$G$701,2,FALSE),texty!$A$2)</f>
        <v>druhá lišta nieje potrebná</v>
      </c>
      <c r="D39" s="65">
        <f>M33</f>
        <v>0</v>
      </c>
      <c r="E39" s="94">
        <f>IF(L33&lt;&gt;"jiné",+VLOOKUP(B39,cennik!$A:$G,3,FALSE),0)</f>
        <v>0</v>
      </c>
      <c r="F39" s="92">
        <f t="shared" si="1"/>
        <v>0</v>
      </c>
      <c r="G39" s="93">
        <f t="shared" si="2"/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21" ht="12.75" customHeight="1">
      <c r="A40" s="7" t="str">
        <f>+System10!A38</f>
        <v>horizontálny spodný profil rámu</v>
      </c>
      <c r="B40" s="16">
        <f>+VLOOKUP(L31,data!$C$373:$D$378,2,0)</f>
        <v>222574</v>
      </c>
      <c r="C40" s="25" t="e">
        <f>+VLOOKUP(B40,cennik!$A$3:$G$701,2,FALSE)</f>
        <v>#N/A</v>
      </c>
      <c r="D40" s="65">
        <f>M31</f>
        <v>0</v>
      </c>
      <c r="E40" s="92">
        <f>+VLOOKUP(B40,cennik!$A:$G,3,FALSE)</f>
        <v>21.58042</v>
      </c>
      <c r="F40" s="92">
        <f t="shared" si="1"/>
        <v>0</v>
      </c>
      <c r="G40" s="93">
        <f t="shared" si="2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 t="str">
        <f>+System10!L24</f>
        <v xml:space="preserve">1700-strieborná </v>
      </c>
    </row>
    <row r="41" spans="1:21" ht="12.75" customHeight="1">
      <c r="A41" s="7" t="str">
        <f>+System10!A39</f>
        <v>horizontálny spodný profil rámu</v>
      </c>
      <c r="B41" s="6" t="str">
        <f>IF(L33&lt;&gt;"jiné",+VLOOKUP(L33,data!$C$373:$D$378,2,0),"")</f>
        <v/>
      </c>
      <c r="C41" s="25" t="str">
        <f>IF(L33&lt;&gt;"jiné",+VLOOKUP(B41,cennik!$A$3:$G$701,2,FALSE),texty!A2)</f>
        <v>druhá lišta nieje potrebná</v>
      </c>
      <c r="D41" s="65">
        <f>M33</f>
        <v>0</v>
      </c>
      <c r="E41" s="94">
        <f>IF(L33&lt;&gt;"jiné",+VLOOKUP(B39,cennik!$A:$G,3,FALSE),0)</f>
        <v>0</v>
      </c>
      <c r="F41" s="92">
        <f t="shared" si="1"/>
        <v>0</v>
      </c>
      <c r="G41" s="93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/>
    </row>
    <row r="42" spans="1:21" ht="12.75" customHeight="1">
      <c r="A42" s="7"/>
      <c r="B42" s="6"/>
      <c r="C42" s="25"/>
      <c r="D42" s="65"/>
      <c r="E42" s="94"/>
      <c r="F42" s="92"/>
      <c r="G42" s="93"/>
      <c r="I42" s="483" t="str">
        <f>IFERROR(IF((VLOOKUP(B42,cennik!A:L,12,0))="O",texty!$A$250,""),"")</f>
        <v/>
      </c>
      <c r="J42" s="196"/>
      <c r="K42" s="3"/>
    </row>
    <row r="43" spans="1:21" ht="12.75" customHeight="1">
      <c r="A43" s="14" t="str">
        <f>texty!$A$66</f>
        <v>Voliteľné príslušenstvo:</v>
      </c>
      <c r="B43" s="15"/>
      <c r="D43" s="26" t="str">
        <f>System10!$D$41</f>
        <v>zadajte počet:</v>
      </c>
      <c r="E43" s="96"/>
      <c r="F43" s="96"/>
      <c r="G43" s="95"/>
      <c r="I43" s="483" t="str">
        <f>IFERROR(IF((VLOOKUP(B43,cennik!A:L,12,0))="O",texty!$A$250,""),"")</f>
        <v/>
      </c>
      <c r="J43" s="196"/>
      <c r="K43" s="3"/>
    </row>
    <row r="44" spans="1:21" ht="12.75" customHeight="1">
      <c r="A44" s="7" t="str">
        <f>texty!$A$88</f>
        <v>pozicionér do horného vedenia</v>
      </c>
      <c r="B44" s="15">
        <v>298035</v>
      </c>
      <c r="C44" s="25" t="str">
        <f>+VLOOKUP(B44,cennik!$A:$G,2,FALSE)</f>
        <v>SEVROLL Fix pozicionér pre horný vozík tran.</v>
      </c>
      <c r="D44" s="29"/>
      <c r="E44" s="92">
        <f>+VLOOKUP(B44,cennik!$A:$G,3,FALSE)</f>
        <v>1.0605800000000001</v>
      </c>
      <c r="F44" s="97">
        <f>+CEILING(D44,1)*E44</f>
        <v>0</v>
      </c>
      <c r="G44" s="93">
        <f>+F44*(100-$G$28)/100</f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3"/>
    </row>
    <row r="45" spans="1:21" ht="12.75" customHeight="1">
      <c r="A45" s="7" t="str">
        <f>+System10!$A$43</f>
        <v xml:space="preserve">pozicionér </v>
      </c>
      <c r="B45" s="211">
        <v>229681</v>
      </c>
      <c r="C45" s="25" t="str">
        <f>+VLOOKUP(B45,cennik!$A:$G,2,FALSE)</f>
        <v>SEVROLL Simple pozicionér pre spodný vozík</v>
      </c>
      <c r="D45" s="29"/>
      <c r="E45" s="92">
        <f>+VLOOKUP(B45,cennik!$A:$G,3,FALSE)</f>
        <v>0.40872000000000003</v>
      </c>
      <c r="F45" s="97">
        <f>+CEILING(D45,1)*E45</f>
        <v>0</v>
      </c>
      <c r="G45" s="93">
        <f>+F45*(100-$G$28)/100</f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3"/>
    </row>
    <row r="46" spans="1:21" ht="12.75" customHeight="1">
      <c r="A46" s="7" t="str">
        <f>texty!$A$179</f>
        <v>skrutka k spodnémi vedeniu</v>
      </c>
      <c r="B46" s="15">
        <v>98019</v>
      </c>
      <c r="C46" s="25" t="str">
        <f>+VLOOKUP(B46,cennik!$A:$G,2,FALSE)</f>
        <v>SEVROLL-skrutka 2,5*18MM</v>
      </c>
      <c r="D46" s="29"/>
      <c r="E46" s="92">
        <f>+VLOOKUP(B46,cennik!$A:$G,3,FALSE)</f>
        <v>2.8680000000000001E-2</v>
      </c>
      <c r="F46" s="97">
        <f>+CEILING(D46,1)*E46</f>
        <v>0</v>
      </c>
      <c r="G46" s="93">
        <f>+F46*(100-$G$24)/100</f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7" t="str">
        <f>texty!$A$203</f>
        <v>spojovací H profil Simple 10</v>
      </c>
      <c r="B47" s="16">
        <f>+VLOOKUP(K26,data!$C$296:$D$301,2,0)</f>
        <v>224146</v>
      </c>
      <c r="C47" s="25" t="str">
        <f>+VLOOKUP(B47,cennik!$A:$G,2,FALSE)</f>
        <v>SEVROLL hor.vod.lišta Simple/Blue 1,5m(10mm)str.</v>
      </c>
      <c r="D47" s="30"/>
      <c r="E47" s="92">
        <f>+VLOOKUP(B47,cennik!$A:$G,3,FALSE)</f>
        <v>7.0572299999999997</v>
      </c>
      <c r="F47" s="92">
        <f>+E47*D47</f>
        <v>0</v>
      </c>
      <c r="G47" s="93">
        <f t="shared" ref="G47:G54" si="3">+F47*(100-$G$28)/100</f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6"/>
    </row>
    <row r="48" spans="1:21" ht="12.75" customHeight="1">
      <c r="A48" s="7" t="str">
        <f>texty!$A$203</f>
        <v>spojovací H profil Simple 10</v>
      </c>
      <c r="B48" s="16">
        <f>+VLOOKUP(K27,data!$C$296:$D$301,2,0)</f>
        <v>224147</v>
      </c>
      <c r="C48" s="25" t="str">
        <f>+VLOOKUP(B48,cennik!$A:$G,2,FALSE)</f>
        <v>SEVROLL hor.vod.lišta Simple/Blue 2m(10mm)str.</v>
      </c>
      <c r="D48" s="30"/>
      <c r="E48" s="92">
        <f>+VLOOKUP(B48,cennik!$A:$G,3,FALSE)</f>
        <v>9.3188200000000005</v>
      </c>
      <c r="F48" s="92">
        <f>+E48*D48</f>
        <v>0</v>
      </c>
      <c r="G48" s="93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6"/>
    </row>
    <row r="49" spans="1:11" ht="12.75" customHeight="1">
      <c r="A49" s="7" t="str">
        <f>texty!$A$203</f>
        <v>spojovací H profil Simple 10</v>
      </c>
      <c r="B49" s="16">
        <f>+VLOOKUP(K28,data!$C$296:$D$301,2,0)</f>
        <v>222573</v>
      </c>
      <c r="C49" s="25" t="str">
        <f>+VLOOKUP(B49,cennik!$A:$G,2,FALSE)</f>
        <v>SEVROLL horná vod.lišta Simple/Blue 3m(10mm)str.</v>
      </c>
      <c r="D49" s="30"/>
      <c r="E49" s="92">
        <f>+VLOOKUP(B49,cennik!$A:$G,3,FALSE)</f>
        <v>13.84198</v>
      </c>
      <c r="F49" s="92">
        <f>+E49*D49</f>
        <v>0</v>
      </c>
      <c r="G49" s="93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6"/>
    </row>
    <row r="50" spans="1:11" ht="12.75" customHeight="1">
      <c r="A50" s="436" t="str">
        <f>texty!$A$228</f>
        <v> Tlmič dorazu MINI do 25 kg (pár)</v>
      </c>
      <c r="B50" s="16">
        <v>350024</v>
      </c>
      <c r="C50" s="25" t="str">
        <f>+VLOOKUP(B50,cennik!$A:$G,2,FALSE)</f>
        <v/>
      </c>
      <c r="D50" s="547"/>
      <c r="E50" s="92">
        <f>+VLOOKUP(B50,cennik!$A:$G,3,FALSE)</f>
        <v>27.220749999999999</v>
      </c>
      <c r="F50" s="97">
        <f>+CEILING(D50,1)*E50</f>
        <v>0</v>
      </c>
      <c r="G50" s="93">
        <f t="shared" si="3"/>
        <v>0</v>
      </c>
      <c r="H50" s="6" t="str">
        <f>cennik!$B$2</f>
        <v>EUR</v>
      </c>
      <c r="I50" s="483" t="str">
        <f>IFERROR(IF((VLOOKUP(B50,cennik!A:L,12,0))="O",texty!$A$250,""),"")</f>
        <v>Na objednávku</v>
      </c>
      <c r="J50" s="196" t="str">
        <f>IF(D50&gt;0,IF(VLOOKUP(B50,cennik!A:L,12,FALSE)="O",1,""),"")</f>
        <v/>
      </c>
      <c r="K50" s="6"/>
    </row>
    <row r="51" spans="1:11" ht="12.75" customHeight="1">
      <c r="A51" s="436" t="str">
        <f>texty!$A$229</f>
        <v> Tlmič dorazu MINI do 40 kg (pár)</v>
      </c>
      <c r="B51" s="24">
        <v>293776</v>
      </c>
      <c r="C51" s="25" t="str">
        <f>+VLOOKUP(B51,cennik!$A:$G,2,FALSE)</f>
        <v>SEVROLL tlmič doraz.Simple 10/18 40kg(L+P)</v>
      </c>
      <c r="D51" s="29"/>
      <c r="E51" s="92">
        <f>+VLOOKUP(B51,cennik!$A:$G,3,FALSE)</f>
        <v>27.220749999999999</v>
      </c>
      <c r="F51" s="97">
        <f>+CEILING(D51,1)*E51</f>
        <v>0</v>
      </c>
      <c r="G51" s="93">
        <f t="shared" si="3"/>
        <v>0</v>
      </c>
      <c r="H51" s="6" t="str">
        <f>cennik!$B$2</f>
        <v>EUR</v>
      </c>
      <c r="I51" s="483" t="str">
        <f>IFERROR(IF((VLOOKUP(B51,cennik!A:L,12,0))="O",texty!$A$250,""),"")</f>
        <v>Na objednávku</v>
      </c>
      <c r="J51" s="196" t="str">
        <f>IF(D51&gt;0,IF(VLOOKUP(B51,cennik!A:L,12,FALSE)="O",1,""),"")</f>
        <v/>
      </c>
      <c r="K51" s="6"/>
    </row>
    <row r="52" spans="1:11" ht="12.75" customHeight="1">
      <c r="A52" s="436"/>
      <c r="B52" s="24"/>
      <c r="C52" s="25"/>
      <c r="D52" s="548"/>
      <c r="E52" s="92"/>
      <c r="F52" s="97"/>
      <c r="G52" s="93"/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6"/>
    </row>
    <row r="53" spans="1:11" ht="12.75" customHeight="1">
      <c r="A53" s="436"/>
      <c r="B53" s="24"/>
      <c r="C53" s="25"/>
      <c r="D53" s="548"/>
      <c r="E53" s="92"/>
      <c r="F53" s="97"/>
      <c r="G53" s="93"/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6"/>
    </row>
    <row r="54" spans="1:11" ht="12.75" customHeight="1">
      <c r="A54" s="7" t="str">
        <f>texty!$A$92</f>
        <v>spojovacia skrutka</v>
      </c>
      <c r="B54" s="16">
        <v>89244</v>
      </c>
      <c r="C54" s="25" t="str">
        <f>+VLOOKUP(B54,cennik!$A:$G,2,FALSE)</f>
        <v>SEVROLL šroubovrut 6,3*32 -Sevroll a Simple</v>
      </c>
      <c r="D54" s="30"/>
      <c r="E54" s="92">
        <f>+VLOOKUP(B54,cennik!$A:$G,3,FALSE)</f>
        <v>0.14462</v>
      </c>
      <c r="F54" s="92">
        <f>+E54*D54</f>
        <v>0</v>
      </c>
      <c r="G54" s="93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A55" s="7"/>
      <c r="B55" s="16"/>
      <c r="C55" s="25"/>
      <c r="D55" s="92"/>
      <c r="E55" s="92"/>
      <c r="F55" s="92"/>
      <c r="G55" s="93"/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6"/>
    </row>
    <row r="56" spans="1:11" ht="12.75" customHeight="1">
      <c r="A56" s="41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6" s="42"/>
      <c r="C56" s="43"/>
      <c r="D56" s="44"/>
      <c r="E56" s="98"/>
      <c r="F56" s="98"/>
      <c r="G56" s="99"/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6"/>
    </row>
    <row r="57" spans="1:11" ht="12.75" customHeight="1">
      <c r="C57" s="40" t="str">
        <f>texty!$A$10</f>
        <v>Potrebná dĺžka tesnenia pri celkovom presklení (nutné objednať celé metre)</v>
      </c>
      <c r="D57" s="39">
        <f>CEILING(((B9+C9)*2/1000*D4),1)</f>
        <v>0</v>
      </c>
      <c r="E57" s="95"/>
      <c r="F57" s="95"/>
      <c r="G57" s="95"/>
      <c r="I57" s="483" t="str">
        <f>IFERROR(IF((VLOOKUP(B57,cennik!A:L,12,0))="O",texty!$A$250,""),"")</f>
        <v/>
      </c>
      <c r="J57" s="196"/>
      <c r="K57" s="6"/>
    </row>
    <row r="58" spans="1:11" ht="12.75" customHeight="1">
      <c r="A58" s="48" t="str">
        <f>texty!$A$12</f>
        <v>(pri kombináciach s H profilmi je nutné pripočítať potrebnú dĺžku - tesnenie musí byť po celom odvode každého skla</v>
      </c>
      <c r="B58" s="46"/>
      <c r="C58" s="47"/>
      <c r="D58" s="46"/>
      <c r="E58" s="100"/>
      <c r="F58" s="100"/>
      <c r="G58" s="100"/>
      <c r="I58" s="483" t="str">
        <f>IFERROR(IF((VLOOKUP(B58,cennik!A:L,12,0))="O",texty!$A$250,""),"")</f>
        <v/>
      </c>
      <c r="J58" s="196" t="str">
        <f>IF(D58&gt;0,IF(VLOOKUP(B58,cennik!A:L,12,FALSE)="O",1,""),"")</f>
        <v/>
      </c>
      <c r="K58" s="6"/>
    </row>
    <row r="59" spans="1:11" ht="12.75" customHeight="1">
      <c r="A59" s="7" t="str">
        <f>System10!A59</f>
        <v>tesnenie na sklo 4mm</v>
      </c>
      <c r="B59" s="17">
        <v>89238</v>
      </c>
      <c r="C59" s="25" t="str">
        <f>+VLOOKUP(B59,cennik!$A:$G,2,FALSE)</f>
        <v>SEVROLL tesnenie na sklo 10/4mm</v>
      </c>
      <c r="D59" s="45"/>
      <c r="E59" s="92">
        <f>+VLOOKUP(B59,cennik!$A:$G,3,FALSE)</f>
        <v>0.89917999999999998</v>
      </c>
      <c r="F59" s="97">
        <f>+CEILING(D59,1)*E59</f>
        <v>0</v>
      </c>
      <c r="G59" s="93">
        <f>+F59*(100-$G$28)/100</f>
        <v>0</v>
      </c>
      <c r="H59" s="6" t="str">
        <f>cennik!$B$2</f>
        <v>EUR</v>
      </c>
      <c r="I59" s="483" t="str">
        <f>IFERROR(IF((VLOOKUP(B59,cennik!A:L,12,0))="O",texty!$A$250,""),"")</f>
        <v/>
      </c>
      <c r="J59" s="196" t="str">
        <f>IF(D59&gt;0,IF(VLOOKUP(B59,cennik!A:L,12,FALSE)="O",1,""),"")</f>
        <v/>
      </c>
      <c r="K59" s="6"/>
    </row>
    <row r="60" spans="1:11" ht="12.75" customHeight="1">
      <c r="A60" s="7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5"/>
      <c r="E60" s="92">
        <f>+VLOOKUP(B60,cennik!$A:$G,3,FALSE)</f>
        <v>0.79542999999999997</v>
      </c>
      <c r="F60" s="97">
        <f>+CEILING(D60,1)*E60</f>
        <v>0</v>
      </c>
      <c r="G60" s="93">
        <f>+F60*(100-$G$28)/100</f>
        <v>0</v>
      </c>
      <c r="H60" s="6" t="str">
        <f>cennik!$B$2</f>
        <v>EUR</v>
      </c>
      <c r="I60" s="483" t="str">
        <f>IFERROR(IF((VLOOKUP(B60,cennik!A:L,12,0))="O",texty!$A$250,""),"")</f>
        <v/>
      </c>
      <c r="J60" s="196" t="str">
        <f>IF(D60&gt;0,IF(VLOOKUP(B60,cennik!A:L,12,FALSE)="O",1,""),"")</f>
        <v/>
      </c>
      <c r="K60" s="3"/>
    </row>
    <row r="61" spans="1:11" ht="12.75" customHeight="1">
      <c r="A61" s="7" t="str">
        <f>System10!A61</f>
        <v>tesnenie na sklo 6mm</v>
      </c>
      <c r="B61" s="17">
        <v>89243</v>
      </c>
      <c r="C61" s="25" t="str">
        <f>+VLOOKUP(B61,cennik!$A:$G,2,FALSE)</f>
        <v>SEVROLL tesnenie na sklo 10/6mm</v>
      </c>
      <c r="D61" s="45"/>
      <c r="E61" s="92">
        <f>+VLOOKUP(B61,cennik!$A:$G,3,FALSE)</f>
        <v>0.89917999999999998</v>
      </c>
      <c r="F61" s="97">
        <f>+CEILING(D61,1)*E61</f>
        <v>0</v>
      </c>
      <c r="G61" s="93">
        <f>+F61*(100-$G$28)/100</f>
        <v>0</v>
      </c>
      <c r="H61" s="6" t="str">
        <f>cennik!$B$2</f>
        <v>EUR</v>
      </c>
      <c r="I61" s="483" t="str">
        <f>IFERROR(IF((VLOOKUP(B61,cennik!A:L,12,0))="O",texty!$A$250,""),"")</f>
        <v/>
      </c>
      <c r="J61" s="196" t="str">
        <f>IF(D61&gt;0,IF(VLOOKUP(B61,cennik!A:L,12,FALSE)="O",1,""),"")</f>
        <v/>
      </c>
      <c r="K61" s="6"/>
    </row>
    <row r="62" spans="1:11" ht="16">
      <c r="A62" s="285" t="str">
        <f>texty!$A$190</f>
        <v>Ďalšie príslušenstvo</v>
      </c>
      <c r="E62" s="95"/>
      <c r="F62" s="95"/>
      <c r="G62" s="95"/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6"/>
    </row>
    <row r="63" spans="1:11" ht="12.75" customHeight="1">
      <c r="A63" s="285" t="str">
        <f>texty!$A$244</f>
        <v>Technický nákres tohoto systému</v>
      </c>
      <c r="B63" s="172">
        <v>128842</v>
      </c>
      <c r="C63" s="172" t="str">
        <f>VLOOKUP(B63,cennik!A:C,2,0)</f>
        <v>SEVROLL-VRTÁK STUPŇOVITÝ 6,5/9,5mm</v>
      </c>
      <c r="D63" s="45"/>
      <c r="E63" s="92">
        <f>+VLOOKUP(B63,cennik!$A:$G,3,FALSE)</f>
        <v>23.986910000000002</v>
      </c>
      <c r="F63" s="97">
        <f>+CEILING(D63,1)*E63</f>
        <v>0</v>
      </c>
      <c r="G63" s="93">
        <f>F63</f>
        <v>0</v>
      </c>
      <c r="H63" s="6" t="str">
        <f>cennik!$B$2</f>
        <v>EUR</v>
      </c>
      <c r="I63" s="483" t="str">
        <f>IFERROR(IF((VLOOKUP(B63,cennik!A:L,12,0))="O",texty!$A$250,""),"")</f>
        <v/>
      </c>
      <c r="J63" s="196" t="str">
        <f>IF(D63&gt;0,IF(VLOOKUP(B63,cennik!A:L,12,FALSE)="O",1,""),"")</f>
        <v/>
      </c>
      <c r="K63" s="6"/>
    </row>
    <row r="64" spans="1:11" ht="12.75" customHeight="1">
      <c r="E64" s="95"/>
      <c r="F64" s="95"/>
      <c r="G64" s="95"/>
      <c r="I64" s="186"/>
      <c r="J64" s="186"/>
    </row>
    <row r="65" spans="1:13" ht="12.75" customHeight="1">
      <c r="B65" s="8"/>
      <c r="C65" s="8"/>
      <c r="D65" s="77" t="str">
        <f>texty!$A$15</f>
        <v>CELKOM  (bez DPH)</v>
      </c>
      <c r="E65" s="100"/>
      <c r="F65" s="102">
        <f>SUM(F30:F63)</f>
        <v>83.479420000000005</v>
      </c>
      <c r="G65" s="102">
        <f>SUM(G30:G63)</f>
        <v>83.479420000000005</v>
      </c>
      <c r="H65" s="6" t="str">
        <f>cennik!$B$2</f>
        <v>EUR</v>
      </c>
      <c r="I65" s="186"/>
      <c r="J65" s="186"/>
      <c r="K65" s="5" t="str">
        <f>texty!A128</f>
        <v xml:space="preserve">strieborná </v>
      </c>
    </row>
    <row r="66" spans="1:13" ht="12.75" customHeight="1">
      <c r="A66" s="76" t="str">
        <f>System10!$A$67</f>
        <v>Vaša poznámka:</v>
      </c>
      <c r="B66" s="665"/>
      <c r="C66" s="666"/>
      <c r="D66" s="666"/>
      <c r="E66" s="666"/>
      <c r="F66" s="666"/>
      <c r="G66" s="666"/>
      <c r="K66" s="5" t="str">
        <f>texty!A130</f>
        <v>oliva</v>
      </c>
    </row>
    <row r="67" spans="1:13" ht="12.75" customHeight="1">
      <c r="A67" s="657">
        <f>profil!$U$15</f>
        <v>0</v>
      </c>
      <c r="B67" s="657"/>
      <c r="C67" s="657"/>
      <c r="D67" s="657"/>
      <c r="E67" s="657"/>
      <c r="F67" s="657"/>
      <c r="G67" s="657"/>
    </row>
    <row r="68" spans="1:13" ht="12.75" customHeight="1">
      <c r="A68" s="659" t="str">
        <f>IF(M68=1,texty!$A$215,IF(J68&gt;0,texty!$A$214,""))</f>
        <v>některé položky sú na objednávku, počítajte prosím s dodaciou  lehotou  do 5 týždnov</v>
      </c>
      <c r="B68" s="659"/>
      <c r="C68" s="659"/>
      <c r="D68" s="659"/>
      <c r="E68" s="659"/>
      <c r="F68" s="659"/>
      <c r="G68" s="659"/>
      <c r="J68" s="6">
        <f>SUM(J30:J63)</f>
        <v>2</v>
      </c>
      <c r="M68" s="5">
        <f>IF(ISERROR(J68),1,0)</f>
        <v>0</v>
      </c>
    </row>
    <row r="69" spans="1:13" ht="12.75" hidden="1" customHeight="1"/>
    <row r="70" spans="1:13" ht="12.75" hidden="1" customHeight="1"/>
    <row r="71" spans="1:13" ht="12.75" hidden="1" customHeight="1"/>
    <row r="72" spans="1:13" ht="12.75" hidden="1" customHeight="1"/>
    <row r="73" spans="1:13" ht="12.75" hidden="1" customHeight="1"/>
    <row r="74" spans="1:13" ht="12.75" hidden="1" customHeight="1"/>
    <row r="75" spans="1:13" ht="12.75" hidden="1" customHeight="1"/>
    <row r="76" spans="1:13" ht="12.75" hidden="1" customHeight="1"/>
    <row r="77" spans="1:13" ht="12.75" hidden="1" customHeight="1"/>
    <row r="78" spans="1:13" ht="12.75" hidden="1" customHeight="1"/>
    <row r="79" spans="1:13" ht="12.75" hidden="1" customHeight="1"/>
    <row r="80" spans="1:13" ht="12.75" hidden="1" customHeight="1"/>
    <row r="81" spans="1:1" ht="12.75" hidden="1" customHeight="1">
      <c r="A81" s="5">
        <v>3</v>
      </c>
    </row>
    <row r="82" spans="1:1" ht="12.75" customHeight="1"/>
    <row r="83" spans="1:1" ht="12.75" customHeight="1"/>
  </sheetData>
  <sheetProtection algorithmName="SHA-512" hashValue="pb1y/uNlgDomepjj9LxJ/WCR29SvbWLO/iCG0EFzkh1+7xdMrQh/5pr0pmJ4UCal9YydGrxhDNMtcBCuHXbdOg==" saltValue="05xa8P8JtqHbaFTR+ZT2XA==" spinCount="100000" sheet="1" objects="1" scenarios="1"/>
  <mergeCells count="11">
    <mergeCell ref="A68:G68"/>
    <mergeCell ref="A67:G67"/>
    <mergeCell ref="T6:T7"/>
    <mergeCell ref="B66:G66"/>
    <mergeCell ref="F4:I6"/>
    <mergeCell ref="Q6:Q7"/>
    <mergeCell ref="R6:R7"/>
    <mergeCell ref="S6:S7"/>
    <mergeCell ref="B5:E5"/>
    <mergeCell ref="A14:B15"/>
    <mergeCell ref="A16:B17"/>
  </mergeCells>
  <conditionalFormatting sqref="D54">
    <cfRule type="expression" dxfId="173" priority="8" stopIfTrue="1">
      <formula>IF(#REF!&gt;0,IF($D$54=0,1,0),0)</formula>
    </cfRule>
  </conditionalFormatting>
  <conditionalFormatting sqref="D6">
    <cfRule type="expression" dxfId="172" priority="6">
      <formula>$D$4=4</formula>
    </cfRule>
    <cfRule type="expression" dxfId="171" priority="7">
      <formula>$D$4&lt;&gt;4</formula>
    </cfRule>
  </conditionalFormatting>
  <conditionalFormatting sqref="F4:I6">
    <cfRule type="expression" dxfId="170" priority="5">
      <formula>$D$4=4</formula>
    </cfRule>
  </conditionalFormatting>
  <conditionalFormatting sqref="A14">
    <cfRule type="expression" dxfId="169" priority="43">
      <formula>SUM($D$50:$D$51)&gt;0</formula>
    </cfRule>
  </conditionalFormatting>
  <conditionalFormatting sqref="A16">
    <cfRule type="expression" dxfId="168" priority="3">
      <formula>SUM($D$52:$D$53)&gt;0</formula>
    </cfRule>
  </conditionalFormatting>
  <dataValidations count="6">
    <dataValidation type="list" allowBlank="1" showInputMessage="1" showErrorMessage="1" sqref="E4" xr:uid="{00000000-0002-0000-0F00-000000000000}">
      <formula1>$K$65:$K$66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2" location="'Blue 10 mm'!A56" display="'Blue 10 mm'!A56" xr:uid="{00000000-0004-0000-0F00-000001000000}"/>
    <hyperlink ref="A63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33E495A-0BA9-469A-ACBE-20923FB452CA}">
            <xm:f>$I30=texty!$A$250</xm:f>
            <x14:dxf>
              <font>
                <color rgb="FFFF0000"/>
              </font>
            </x14:dxf>
          </x14:cfRule>
          <xm:sqref>I30:I63</xm:sqref>
        </x14:conditionalFormatting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9.5" style="5" customWidth="1"/>
    <col min="2" max="2" width="15.83203125" style="5" customWidth="1"/>
    <col min="3" max="3" width="63.83203125" style="5" bestFit="1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customWidth="1"/>
    <col min="9" max="9" width="28.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21" width="0" style="5" hidden="1" customWidth="1"/>
    <col min="22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-6.25</v>
      </c>
    </row>
    <row r="2" spans="1:21" ht="18.75" customHeight="1">
      <c r="A2" s="538" t="s">
        <v>2948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",5,".",61)</f>
        <v>katalóg kovania 2018 str. 5.61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+B4-35</f>
        <v>-35</v>
      </c>
      <c r="C7" s="59">
        <f>+((C4-3+18*(D4-1))/D4+IF(AND(D4=4,D6=2),L1,0))</f>
        <v>11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+System10!A8</f>
        <v>rozmer výplne 10 mm:</v>
      </c>
      <c r="B8" s="57">
        <f>+B7-65</f>
        <v>-100</v>
      </c>
      <c r="C8" s="59">
        <f>+C7-18</f>
        <v>-7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-18.200000000000003</v>
      </c>
      <c r="R8" s="5">
        <f>FLOOR(1500/Q8,1)</f>
        <v>-83</v>
      </c>
      <c r="S8" s="5">
        <f>FLOOR(2000/Q8,1)</f>
        <v>-110</v>
      </c>
      <c r="T8" s="5">
        <f>FLOOR(3000/Q8,1)</f>
        <v>-165</v>
      </c>
    </row>
    <row r="9" spans="1:21" ht="12.75" customHeight="1">
      <c r="A9" s="10" t="str">
        <f>+System10!A9</f>
        <v>rozmer zrkadla / skla</v>
      </c>
      <c r="B9" s="57">
        <f>+B8</f>
        <v>-100</v>
      </c>
      <c r="C9" s="59">
        <f>+C8-4</f>
        <v>-11</v>
      </c>
      <c r="D9" s="8"/>
      <c r="E9" s="8"/>
      <c r="F9" s="50" t="str">
        <f>texty!$A$41</f>
        <v>alebo sklo zabezpečiť ochrannou fóliou</v>
      </c>
      <c r="G9" s="6"/>
      <c r="K9" s="37">
        <f>C10*D4</f>
        <v>-69.600000000000009</v>
      </c>
      <c r="L9" s="36">
        <f>(D4+1)*5</f>
        <v>20</v>
      </c>
      <c r="P9" s="5">
        <v>2</v>
      </c>
      <c r="Q9" s="164">
        <f t="shared" ref="Q9:Q14" si="0">Q8+$C$10+5</f>
        <v>-36.400000000000006</v>
      </c>
      <c r="R9" s="5">
        <f>(1500-C10)*R20</f>
        <v>-1523.2</v>
      </c>
      <c r="S9" s="5">
        <f>(2000-C10)*S20</f>
        <v>-2023.2</v>
      </c>
      <c r="T9" s="5">
        <f>(3000-C10)*T20</f>
        <v>-3023.2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+C7-34.2</f>
        <v>-23.200000000000003</v>
      </c>
      <c r="D10" s="8"/>
      <c r="E10" s="8"/>
      <c r="F10" s="49"/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-54.600000000000009</v>
      </c>
    </row>
    <row r="11" spans="1:21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F11" s="3" t="str">
        <f>texty!$A$44</f>
        <v>Maximálna hmotnosť krídla je 35 kg</v>
      </c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-72.800000000000011</v>
      </c>
    </row>
    <row r="12" spans="1:21" ht="12.75" customHeight="1">
      <c r="A12" s="10" t="str">
        <f>+System10!A12</f>
        <v>úchytková lišta</v>
      </c>
      <c r="B12" s="502">
        <f>+B7</f>
        <v>-35</v>
      </c>
      <c r="C12" s="503"/>
      <c r="D12" s="8"/>
      <c r="E12" s="8"/>
      <c r="F12" s="6"/>
      <c r="G12" s="6"/>
      <c r="K12" s="6">
        <f>C10*(D4-1)+(D4*5)</f>
        <v>-31.400000000000006</v>
      </c>
      <c r="L12" s="5">
        <f>IF(K12&lt;1700,1700,IF(K12&lt;2350,2350,IF(K12&lt;3000,3000,3000)))</f>
        <v>1700</v>
      </c>
      <c r="M12" s="5">
        <f>L12-K12</f>
        <v>1731.4</v>
      </c>
      <c r="P12" s="5">
        <v>5</v>
      </c>
      <c r="Q12" s="164">
        <f t="shared" si="0"/>
        <v>-91.000000000000014</v>
      </c>
    </row>
    <row r="13" spans="1:21" ht="12.75" customHeight="1">
      <c r="A13" s="7" t="str">
        <f>System10!A13</f>
        <v>Dĺžka tesnenia na sklo na jednom krídle</v>
      </c>
      <c r="B13" s="58"/>
      <c r="C13" s="145">
        <f>ROUND((B8*2+C9*2),0)</f>
        <v>-222</v>
      </c>
      <c r="D13" s="8"/>
      <c r="E13" s="8"/>
      <c r="F13" s="6"/>
      <c r="G13" s="6"/>
      <c r="K13" s="35">
        <f>C10+10</f>
        <v>-13.200000000000003</v>
      </c>
      <c r="L13" s="5">
        <f>IF(M12&gt;=0,IF(K13&lt;1700,1700,IF(K13&lt;2350,2350,IF(K13&lt;3000,3000,"jiné"))),IF((K13+C10)&lt;1700,1700,IF((K13+C10)&lt;2350,2350,IF((K13+C10)&lt;3000,3000,"jiné"))))</f>
        <v>1700</v>
      </c>
      <c r="M13" s="5">
        <f>L13-K13</f>
        <v>1713.2</v>
      </c>
      <c r="P13" s="5">
        <v>6</v>
      </c>
      <c r="Q13" s="164">
        <f t="shared" si="0"/>
        <v>-109.20000000000002</v>
      </c>
    </row>
    <row r="14" spans="1:21" ht="13">
      <c r="A14" s="644" t="str">
        <f>IF(SUM(D52:D53)&gt;0,texty!A247,"")</f>
        <v/>
      </c>
      <c r="B14" s="644"/>
      <c r="C14" s="504" t="str">
        <f>texty!A78</f>
        <v>dodatočné odpočty výšky vypočítaných výplní pri použití deliacich profilov výplne:</v>
      </c>
      <c r="D14" s="8"/>
      <c r="E14" s="8"/>
      <c r="F14" s="6"/>
      <c r="G14" s="6"/>
      <c r="K14" s="6"/>
      <c r="L14" s="5">
        <f>SUM(L12:L13)</f>
        <v>3400</v>
      </c>
      <c r="M14" s="5">
        <f>SUM(M12:M13)</f>
        <v>3444.6000000000004</v>
      </c>
      <c r="P14" s="5">
        <v>7</v>
      </c>
      <c r="Q14" s="164">
        <f t="shared" si="0"/>
        <v>-127.40000000000003</v>
      </c>
    </row>
    <row r="15" spans="1:21" ht="13">
      <c r="A15" s="644"/>
      <c r="B15" s="644"/>
      <c r="C15" s="504"/>
      <c r="D15" s="8"/>
      <c r="E15" s="8"/>
      <c r="F15" s="6"/>
      <c r="G15" s="6"/>
      <c r="K15" s="6"/>
      <c r="Q15" s="164"/>
    </row>
    <row r="16" spans="1:21" ht="20" customHeight="1">
      <c r="A16" s="644" t="str">
        <f>IF(SUM(D55:D56)&gt;0,texty!A248,"")</f>
        <v/>
      </c>
      <c r="B16" s="644"/>
      <c r="C16" s="504"/>
      <c r="D16" s="8"/>
      <c r="E16" s="8"/>
      <c r="F16" s="6"/>
      <c r="G16" s="6"/>
      <c r="K16" s="6"/>
      <c r="Q16" s="164"/>
    </row>
    <row r="17" spans="1:21" ht="20" customHeight="1">
      <c r="A17" s="644"/>
      <c r="B17" s="644"/>
      <c r="C17" s="504"/>
      <c r="D17" s="8"/>
      <c r="E17" s="8"/>
      <c r="F17" s="6"/>
      <c r="G17" s="6"/>
      <c r="K17" s="6"/>
      <c r="Q17" s="164"/>
    </row>
    <row r="18" spans="1:21" ht="13">
      <c r="A18" s="436"/>
      <c r="B18" s="17"/>
      <c r="C18" s="504"/>
      <c r="D18" s="8"/>
      <c r="E18" s="8"/>
      <c r="F18" s="6"/>
      <c r="G18" s="6"/>
      <c r="K18" s="6"/>
      <c r="Q18" s="164"/>
    </row>
    <row r="19" spans="1:21" ht="13">
      <c r="A19" s="436"/>
      <c r="B19" s="17"/>
      <c r="C19" s="504"/>
      <c r="D19" s="8"/>
      <c r="E19" s="8"/>
      <c r="F19" s="6"/>
      <c r="G19" s="6"/>
      <c r="K19" s="6"/>
      <c r="Q19" s="164"/>
    </row>
    <row r="20" spans="1:21" ht="12.75" customHeight="1">
      <c r="B20" s="17"/>
      <c r="C20" s="447"/>
      <c r="D20" s="8"/>
      <c r="E20" s="8"/>
      <c r="F20" s="6"/>
      <c r="G20" s="6"/>
      <c r="K20" s="6"/>
      <c r="L20" s="5">
        <f>L14-C4</f>
        <v>3400</v>
      </c>
      <c r="P20" s="5" t="s">
        <v>650</v>
      </c>
      <c r="R20" s="5">
        <f>FLOOR($D$4/R8,1)</f>
        <v>-1</v>
      </c>
      <c r="S20" s="5">
        <f>FLOOR($D$4/S8,1)</f>
        <v>-1</v>
      </c>
      <c r="T20" s="5">
        <f>FLOOR($D$4/T8,1)</f>
        <v>-1</v>
      </c>
    </row>
    <row r="21" spans="1:21" ht="12.75" customHeight="1">
      <c r="A21" s="436"/>
      <c r="B21" s="17"/>
      <c r="C21" s="447"/>
      <c r="D21" s="8"/>
      <c r="E21" s="8"/>
      <c r="F21" s="6"/>
      <c r="G21" s="6"/>
      <c r="K21" s="6"/>
    </row>
    <row r="22" spans="1:21" ht="14.25" customHeight="1">
      <c r="A22" s="436"/>
      <c r="B22" s="498" t="str">
        <f>texty!A242</f>
        <v>dilatácia 4 mm</v>
      </c>
      <c r="C22" s="120"/>
      <c r="D22" s="8"/>
      <c r="E22" s="8"/>
      <c r="F22" s="6"/>
      <c r="G22" s="6"/>
      <c r="K22" s="6"/>
    </row>
    <row r="23" spans="1:21" ht="16.5" customHeight="1">
      <c r="A23" s="7"/>
      <c r="B23" s="8"/>
      <c r="C23" s="8"/>
      <c r="E23" s="8"/>
      <c r="F23" s="6"/>
      <c r="G23" s="6"/>
      <c r="K23" s="6"/>
      <c r="L23" s="6"/>
      <c r="Q23" s="5" t="s">
        <v>694</v>
      </c>
      <c r="R23" s="5" t="s">
        <v>693</v>
      </c>
      <c r="S23" s="5">
        <v>1500</v>
      </c>
      <c r="T23" s="5">
        <v>2000</v>
      </c>
      <c r="U23" s="5">
        <v>3000</v>
      </c>
    </row>
    <row r="24" spans="1:21" ht="16.5" customHeight="1">
      <c r="A24" s="147"/>
      <c r="B24" s="8"/>
      <c r="C24" s="8"/>
      <c r="D24" s="13"/>
      <c r="E24" s="8"/>
      <c r="F24" s="6"/>
      <c r="G24" s="6"/>
      <c r="K24" s="6"/>
      <c r="P24" s="5">
        <v>1</v>
      </c>
      <c r="Q24" s="5">
        <f>R8</f>
        <v>-83</v>
      </c>
      <c r="R24" s="5" t="str">
        <f>IF(Q24&gt;=D4,1,"")</f>
        <v/>
      </c>
      <c r="S24" s="168" t="str">
        <f>IF(R24=1,1,"")</f>
        <v/>
      </c>
      <c r="T24" s="168"/>
      <c r="U24" s="168"/>
    </row>
    <row r="25" spans="1:21" ht="12.75" customHeight="1">
      <c r="A25" s="216"/>
      <c r="B25" s="8"/>
      <c r="C25" s="8"/>
      <c r="D25" s="8"/>
      <c r="E25" s="8"/>
      <c r="F25" s="6"/>
      <c r="G25" s="6"/>
      <c r="K25" s="3"/>
      <c r="P25" s="5">
        <v>2</v>
      </c>
      <c r="Q25" s="5">
        <f>S8</f>
        <v>-110</v>
      </c>
      <c r="R25" s="5" t="str">
        <f>IF(Q25&gt;=D4,IF(R24=1,"",1),"")</f>
        <v/>
      </c>
      <c r="S25" s="168"/>
      <c r="T25" s="168" t="str">
        <f>IF(R25=1,1,"")</f>
        <v/>
      </c>
      <c r="U25" s="168"/>
    </row>
    <row r="26" spans="1:21" ht="12.75" customHeight="1">
      <c r="A26" s="7"/>
      <c r="B26" s="8"/>
      <c r="C26" s="8"/>
      <c r="D26" s="8"/>
      <c r="E26" s="8"/>
      <c r="F26" s="6"/>
      <c r="G26" s="6"/>
      <c r="P26" s="5">
        <v>3</v>
      </c>
      <c r="Q26" s="5">
        <f>T8</f>
        <v>-165</v>
      </c>
      <c r="R26" s="5" t="str">
        <f>IF(Q26&gt;=D4,IF(Q25&gt;=D4,"",1),"")</f>
        <v/>
      </c>
      <c r="U26" s="168" t="str">
        <f>IF(R26=1,1,"")</f>
        <v/>
      </c>
    </row>
    <row r="27" spans="1:21" ht="12.75" customHeight="1">
      <c r="A27" s="7"/>
      <c r="B27" s="8"/>
      <c r="C27" s="8"/>
      <c r="D27" s="8"/>
      <c r="E27" s="8"/>
      <c r="F27" s="6"/>
      <c r="G27" s="6"/>
      <c r="K27" s="5" t="str">
        <f>CONCATENATE(M27,"-",$O$7)</f>
        <v xml:space="preserve">1500-strieborná </v>
      </c>
      <c r="L27" s="6">
        <f>SUM(S24:S36)</f>
        <v>0</v>
      </c>
      <c r="M27" s="5">
        <v>1500</v>
      </c>
      <c r="O27" s="5" t="s">
        <v>652</v>
      </c>
      <c r="P27" s="167" t="s">
        <v>653</v>
      </c>
      <c r="Q27" s="5">
        <f>R8+S8</f>
        <v>-193</v>
      </c>
      <c r="R27" s="5" t="str">
        <f>IF(Q27&gt;=D4,IF(SUM(R24:R26)&gt;0,"",1),"")</f>
        <v/>
      </c>
      <c r="S27" s="168" t="str">
        <f>IF(R27=1,1,"")</f>
        <v/>
      </c>
      <c r="T27" s="168" t="str">
        <f>IF(R27=1,1,"")</f>
        <v/>
      </c>
    </row>
    <row r="28" spans="1:21" ht="12.75" customHeight="1">
      <c r="A28" s="7"/>
      <c r="B28" s="8"/>
      <c r="D28" s="8"/>
      <c r="E28" s="8"/>
      <c r="F28" s="8"/>
      <c r="G28" s="131" t="str">
        <f>+System10!G25</f>
        <v>partnerská zľava:</v>
      </c>
      <c r="K28" s="5" t="str">
        <f>CONCATENATE(M28,"-",$O$7)</f>
        <v xml:space="preserve">2000-strieborná </v>
      </c>
      <c r="L28" s="6">
        <f>SUM(T24:T36)</f>
        <v>0</v>
      </c>
      <c r="M28" s="5">
        <v>2000</v>
      </c>
      <c r="P28" s="5" t="s">
        <v>689</v>
      </c>
      <c r="Q28" s="5">
        <f>S8+S8</f>
        <v>-220</v>
      </c>
      <c r="R28" s="5" t="str">
        <f>IF(Q28&gt;=D4,IF(SUM(R24:R27)&gt;0,"",1),"")</f>
        <v/>
      </c>
      <c r="T28" s="168" t="str">
        <f>IF(R28=1,2,"")</f>
        <v/>
      </c>
    </row>
    <row r="29" spans="1:21" ht="12.75" customHeight="1">
      <c r="A29" s="14" t="str">
        <f>+System10!A26</f>
        <v>Objednávacie kódy, ceny:</v>
      </c>
      <c r="B29" s="8"/>
      <c r="D29" s="8"/>
      <c r="E29" s="8"/>
      <c r="F29" s="8"/>
      <c r="G29" s="143">
        <f>profil!C15</f>
        <v>0</v>
      </c>
      <c r="H29" s="28"/>
      <c r="K29" s="5" t="str">
        <f>CONCATENATE(M29,"-",$O$7)</f>
        <v xml:space="preserve">3000-strieborná </v>
      </c>
      <c r="L29" s="6">
        <f>SUM(U24:U36)</f>
        <v>0</v>
      </c>
      <c r="M29" s="5">
        <v>3000</v>
      </c>
      <c r="N29" s="165"/>
      <c r="P29" s="5" t="s">
        <v>654</v>
      </c>
      <c r="Q29" s="5">
        <f>R8+T8</f>
        <v>-248</v>
      </c>
      <c r="R29" s="5" t="str">
        <f>IF(Q29&gt;=D4,IF(SUM(R24:R28)&gt;0,"",1),"")</f>
        <v/>
      </c>
      <c r="S29" s="168" t="str">
        <f>IF(R29=1,1,"")</f>
        <v/>
      </c>
      <c r="U29" s="168" t="str">
        <f>IF(R29=1,1,"")</f>
        <v/>
      </c>
    </row>
    <row r="30" spans="1:21" ht="12.75" customHeight="1">
      <c r="A30" s="7"/>
      <c r="B30" s="19" t="str">
        <f>+System10!B27</f>
        <v>kód</v>
      </c>
      <c r="C30" s="18" t="str">
        <f>+System10!C27</f>
        <v>názov</v>
      </c>
      <c r="D30" s="19" t="str">
        <f>+System10!D27</f>
        <v>ks</v>
      </c>
      <c r="E30" s="19" t="str">
        <f>+System10!E27</f>
        <v>cena/ks</v>
      </c>
      <c r="F30" s="19" t="str">
        <f>+System10!F27</f>
        <v>cena celkom</v>
      </c>
      <c r="G30" s="20" t="str">
        <f>+System10!G27</f>
        <v>celkom netto:</v>
      </c>
      <c r="I30" s="18" t="str">
        <f>texty!A29</f>
        <v>Poznámka:</v>
      </c>
      <c r="J30" s="18"/>
      <c r="K30" s="6"/>
      <c r="L30" s="5">
        <f>COUNT(L27,L28,L29)</f>
        <v>3</v>
      </c>
      <c r="M30" s="165"/>
      <c r="N30" s="165"/>
      <c r="P30" s="5" t="s">
        <v>655</v>
      </c>
      <c r="Q30" s="5">
        <f>S8+T8</f>
        <v>-275</v>
      </c>
      <c r="R30" s="5" t="str">
        <f>IF(Q30&gt;=D4,IF(SUM(R24:R29)&gt;0,"",1),"")</f>
        <v/>
      </c>
      <c r="T30" s="168" t="str">
        <f>IF(R30=1,1,"")</f>
        <v/>
      </c>
      <c r="U30" s="168" t="str">
        <f>IF(R30=1,1,"")</f>
        <v/>
      </c>
    </row>
    <row r="31" spans="1:21" ht="12.75" customHeight="1">
      <c r="A31" s="7" t="str">
        <f>+System10!A28</f>
        <v>Horný profil:</v>
      </c>
      <c r="B31" s="16">
        <f>+VLOOKUP(N5,data!$C$226:$D$239,2,0)</f>
        <v>349796</v>
      </c>
      <c r="C31" s="25" t="str">
        <f>+VLOOKUP(B31,cennik!$A:$G,2,FALSE)</f>
        <v/>
      </c>
      <c r="D31" s="17">
        <v>1</v>
      </c>
      <c r="E31" s="92">
        <f>+VLOOKUP(B31,cennik!$A:$G,3,FALSE)</f>
        <v>14.659420000000001</v>
      </c>
      <c r="F31" s="92">
        <f t="shared" ref="F31:F42" si="1">+E31*D31</f>
        <v>14.659420000000001</v>
      </c>
      <c r="G31" s="93">
        <f t="shared" ref="G31:G42" si="2">+F31*(100-$G$29)/100</f>
        <v>14.659420000000001</v>
      </c>
      <c r="H31" s="6" t="str">
        <f>cennik!$B$2</f>
        <v>EUR</v>
      </c>
      <c r="I31" s="483" t="str">
        <f>IFERROR(IF((VLOOKUP(B31,cennik!A:L,12,0))="O",texty!$A$250,""),"")</f>
        <v>Na objednávku</v>
      </c>
      <c r="J31" s="196">
        <f>IF(D31&gt;0,IF(VLOOKUP(B31,cennik!A:L,12,FALSE)="O",1,""),"")</f>
        <v>1</v>
      </c>
      <c r="K31" s="6"/>
      <c r="L31" s="165"/>
      <c r="M31" s="165"/>
      <c r="N31" s="165"/>
      <c r="P31" s="5" t="s">
        <v>690</v>
      </c>
      <c r="Q31" s="5">
        <f>T8+T8</f>
        <v>-330</v>
      </c>
      <c r="R31" s="5" t="str">
        <f>IF(Q31&gt;=D4,IF(SUM(R24:R30)&gt;0,"",1),"")</f>
        <v/>
      </c>
      <c r="U31" s="168" t="str">
        <f>IF(R31=1,2,"")</f>
        <v/>
      </c>
    </row>
    <row r="32" spans="1:21" ht="12.75" customHeight="1">
      <c r="A32" s="7" t="str">
        <f>+System10!A29</f>
        <v>spodný profil:</v>
      </c>
      <c r="B32" s="16">
        <f>+VLOOKUP(N5,data!$C$242:$D$255,2,0)</f>
        <v>349810</v>
      </c>
      <c r="C32" s="25" t="str">
        <f>+VLOOKUP(B32,cennik!$A:$G,2,FALSE)</f>
        <v/>
      </c>
      <c r="D32" s="17">
        <v>1</v>
      </c>
      <c r="E32" s="92">
        <f>+VLOOKUP(B32,cennik!$A:$G,3,FALSE)</f>
        <v>7.5749399999999998</v>
      </c>
      <c r="F32" s="92">
        <f t="shared" si="1"/>
        <v>7.5749399999999998</v>
      </c>
      <c r="G32" s="93">
        <f t="shared" si="2"/>
        <v>7.5749400000000007</v>
      </c>
      <c r="H32" s="6" t="str">
        <f>cennik!$B$2</f>
        <v>EUR</v>
      </c>
      <c r="I32" s="483" t="str">
        <f>IFERROR(IF((VLOOKUP(B32,cennik!A:L,12,0))="O",texty!$A$250,""),"")</f>
        <v>Na objednávku</v>
      </c>
      <c r="J32" s="196">
        <f>IF(D32&gt;0,IF(VLOOKUP(B32,cennik!A:L,12,FALSE)="O",1,""),"")</f>
        <v>1</v>
      </c>
      <c r="K32" s="6" t="s">
        <v>656</v>
      </c>
      <c r="L32" s="5" t="str">
        <f>IF(L27=0,IF(L28=0,K29,K28),K27)</f>
        <v xml:space="preserve">3000-strieborná </v>
      </c>
      <c r="M32" s="165">
        <f>IF(L32=K27,L27,IF(L32=K28,L28,IF(L32=K29,L29,"chyba")))</f>
        <v>0</v>
      </c>
      <c r="N32" s="165"/>
      <c r="O32" s="165"/>
      <c r="P32" s="5" t="s">
        <v>691</v>
      </c>
      <c r="Q32" s="5">
        <f>R8+R8+R8</f>
        <v>-249</v>
      </c>
      <c r="R32" s="5" t="str">
        <f>IF(Q32&gt;=D4,IF(SUM(R24:R31)&gt;0,"",1),"")</f>
        <v/>
      </c>
      <c r="S32" s="168" t="str">
        <f>IF(R32=1,3,"")</f>
        <v/>
      </c>
    </row>
    <row r="33" spans="1:21" ht="12.75" customHeight="1">
      <c r="A33" s="7" t="str">
        <f>texty!$A$210</f>
        <v>záslepko spodného vedenia</v>
      </c>
      <c r="B33" s="16">
        <v>216362</v>
      </c>
      <c r="C33" s="25" t="str">
        <f>+VLOOKUP(B33,cennik!$A:$G,2,FALSE)</f>
        <v>SEVROLL záslepka spodného vedenia Simple</v>
      </c>
      <c r="D33" s="17">
        <f>CEILING(C4/1000,1)</f>
        <v>0</v>
      </c>
      <c r="E33" s="92">
        <f>+VLOOKUP(B33,cennik!$A:$G,3,FALSE)</f>
        <v>1.1716599999999999</v>
      </c>
      <c r="F33" s="92">
        <f t="shared" si="1"/>
        <v>0</v>
      </c>
      <c r="G33" s="93">
        <f t="shared" si="2"/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  <c r="M33" s="165"/>
      <c r="N33" s="165"/>
      <c r="O33" s="165"/>
      <c r="S33" s="168"/>
    </row>
    <row r="34" spans="1:21" ht="12.75" customHeight="1">
      <c r="A34" s="7" t="str">
        <f>+System10!A31</f>
        <v>horné vozíky (sady)</v>
      </c>
      <c r="B34" s="16">
        <v>349943</v>
      </c>
      <c r="C34" s="25" t="str">
        <f>+VLOOKUP(B34,cennik!$A:$G,2,FALSE)</f>
        <v>SEVROLL horný vozík Blue 10mm symetrický (L+</v>
      </c>
      <c r="D34" s="17">
        <f>+D4</f>
        <v>3</v>
      </c>
      <c r="E34" s="92">
        <f>+VLOOKUP(B34,cennik!$A:$G,3,FALSE)</f>
        <v>3.8147199999999999</v>
      </c>
      <c r="F34" s="92">
        <f t="shared" si="1"/>
        <v>11.44416</v>
      </c>
      <c r="G34" s="93">
        <f t="shared" si="2"/>
        <v>11.44416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6" t="s">
        <v>657</v>
      </c>
      <c r="L34" s="5" t="str">
        <f>IF(L32=K29,"jiné",IF(L32=K27,IF(L28&lt;&gt;0,K28,IF(L29&lt;&gt;0,K29,"jiné")),IF(L29&lt;&gt;0,K29,"jiné")))</f>
        <v>jiné</v>
      </c>
      <c r="M34" s="165">
        <f>IF(L34=K28,L28,IF(L34=K29,L29,IF(L34=K30,L30,0)))</f>
        <v>0</v>
      </c>
      <c r="N34" s="165"/>
      <c r="O34" s="165"/>
      <c r="P34" s="5" t="s">
        <v>658</v>
      </c>
      <c r="Q34" s="5">
        <f>R8+2*S8</f>
        <v>-303</v>
      </c>
      <c r="R34" s="5" t="str">
        <f>IF(Q34&gt;=D4,IF(SUM(R24:R32)&gt;0,"",1),"")</f>
        <v/>
      </c>
      <c r="S34" s="168" t="str">
        <f>IF(R34=1,1,"")</f>
        <v/>
      </c>
      <c r="T34" s="168" t="str">
        <f>IF(R34=1,2,"")</f>
        <v/>
      </c>
    </row>
    <row r="35" spans="1:21" ht="12.75" customHeight="1">
      <c r="A35" s="7" t="str">
        <f>+System10!A32</f>
        <v>spodné vozíky (sada)</v>
      </c>
      <c r="B35" s="16">
        <v>229446</v>
      </c>
      <c r="C35" s="25" t="str">
        <f>+VLOOKUP(B35,cennik!$A:$G,2,FALSE)</f>
        <v>SEVROLL spodný vozík Simple/Blue V (rámový s</v>
      </c>
      <c r="D35" s="17">
        <f>+D4</f>
        <v>3</v>
      </c>
      <c r="E35" s="92">
        <f>+VLOOKUP(B35,cennik!$A:$G,3,FALSE)</f>
        <v>2.86104</v>
      </c>
      <c r="F35" s="92">
        <f t="shared" si="1"/>
        <v>8.583120000000001</v>
      </c>
      <c r="G35" s="93">
        <f t="shared" si="2"/>
        <v>8.583120000000001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6"/>
      <c r="L35" s="165"/>
      <c r="M35" s="165"/>
      <c r="N35" s="165"/>
      <c r="O35" s="165"/>
      <c r="P35" s="5" t="s">
        <v>692</v>
      </c>
      <c r="Q35" s="5">
        <f>S8+S8+S8</f>
        <v>-330</v>
      </c>
      <c r="R35" s="5" t="str">
        <f>IF(Q35&gt;=D4,IF(SUM(R24:R34)&gt;0,"",1),"")</f>
        <v/>
      </c>
      <c r="T35" s="168" t="str">
        <f>IF(R35=1,3,"")</f>
        <v/>
      </c>
    </row>
    <row r="36" spans="1:21" ht="12.75" customHeight="1">
      <c r="A36" s="7" t="str">
        <f>texty!A111</f>
        <v xml:space="preserve">pozicionér </v>
      </c>
      <c r="B36" s="211">
        <v>229681</v>
      </c>
      <c r="C36" s="25" t="str">
        <f>+VLOOKUP(B36,cennik!$A:$G,2,FALSE)</f>
        <v>SEVROLL Simple pozicionér pre spodný vozík</v>
      </c>
      <c r="D36" s="17">
        <f>+D4</f>
        <v>3</v>
      </c>
      <c r="E36" s="92">
        <f>+VLOOKUP(B36,cennik!$A:$G,3,FALSE)</f>
        <v>0.40872000000000003</v>
      </c>
      <c r="F36" s="92">
        <f t="shared" si="1"/>
        <v>1.2261600000000001</v>
      </c>
      <c r="G36" s="93">
        <f t="shared" si="2"/>
        <v>1.2261600000000001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6" t="str">
        <f>CONCATENATE(3000,"-",E4)</f>
        <v xml:space="preserve">3000-strieborná </v>
      </c>
      <c r="L36" s="165"/>
      <c r="M36" s="165"/>
      <c r="N36" s="165"/>
      <c r="O36" s="165"/>
      <c r="P36" s="5" t="s">
        <v>659</v>
      </c>
      <c r="Q36" s="5">
        <f>R8+2*T8</f>
        <v>-413</v>
      </c>
      <c r="R36" s="5" t="str">
        <f>IF(Q36&gt;=D4,IF(SUM(R24:R35)&gt;0,"",1),"")</f>
        <v/>
      </c>
      <c r="S36" s="168" t="str">
        <f>IF(R36=1,1,"")</f>
        <v/>
      </c>
      <c r="U36" s="168" t="str">
        <f>IF(R36=1,2,"")</f>
        <v/>
      </c>
    </row>
    <row r="37" spans="1:21" ht="12.75" customHeight="1">
      <c r="A37" s="7" t="str">
        <f>+System10!A33</f>
        <v>dorazový kartáč</v>
      </c>
      <c r="B37" s="16">
        <v>98067</v>
      </c>
      <c r="C37" s="25" t="str">
        <f>+VLOOKUP(B37,cennik!$A:$G,2,FALSE)</f>
        <v>SEVROLL dorazový kartáč zásuvný 14,5x4mm</v>
      </c>
      <c r="D37" s="17">
        <f>CEILING((B4*D4*2/1000),1)</f>
        <v>0</v>
      </c>
      <c r="E37" s="92">
        <f>+VLOOKUP(B37,cennik!$A:$G,3,FALSE)</f>
        <v>0.17649000000000001</v>
      </c>
      <c r="F37" s="92">
        <f t="shared" si="1"/>
        <v>0</v>
      </c>
      <c r="G37" s="93">
        <f t="shared" si="2"/>
        <v>0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3" t="s">
        <v>988</v>
      </c>
    </row>
    <row r="38" spans="1:21" ht="12.75" customHeight="1">
      <c r="A38" s="7" t="str">
        <f>+System10!A34</f>
        <v>úchytková lišta</v>
      </c>
      <c r="B38" s="16">
        <f>+VLOOKUP(O7,data!$C$442:$D$443,2,0)</f>
        <v>215234</v>
      </c>
      <c r="C38" s="25" t="str">
        <f>+VLOOKUP(B38,cennik!$A:$G,2,FALSE)</f>
        <v>SEVROLL Polo úch.lišta 10mm 2,70m strieborná</v>
      </c>
      <c r="D38" s="17">
        <f>IF(B12&lt;=1347,D4*2/2,D4*2)</f>
        <v>3</v>
      </c>
      <c r="E38" s="92">
        <f>+VLOOKUP(B38,cennik!$A:$G,3,FALSE)</f>
        <v>14.3597</v>
      </c>
      <c r="F38" s="92">
        <f t="shared" si="1"/>
        <v>43.079099999999997</v>
      </c>
      <c r="G38" s="93">
        <f t="shared" si="2"/>
        <v>43.079099999999997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162">
        <f>(C10*D4)+(D4-1)*5</f>
        <v>-59.600000000000009</v>
      </c>
    </row>
    <row r="39" spans="1:21" ht="12.75" customHeight="1">
      <c r="A39" s="7" t="str">
        <f>+System10!A35</f>
        <v>spojovacia skrutka</v>
      </c>
      <c r="B39" s="6">
        <v>89244</v>
      </c>
      <c r="C39" s="25" t="str">
        <f>+VLOOKUP(B39,cennik!$A:$G,2,FALSE)</f>
        <v>SEVROLL šroubovrut 6,3*32 -Sevroll a Simple</v>
      </c>
      <c r="D39" s="17">
        <f>+D4*4</f>
        <v>12</v>
      </c>
      <c r="E39" s="92">
        <f>+VLOOKUP(B39,cennik!$A:$G,3,FALSE)</f>
        <v>0.14462</v>
      </c>
      <c r="F39" s="92">
        <f>+E39*D39</f>
        <v>1.7354400000000001</v>
      </c>
      <c r="G39" s="93">
        <f>+F39*(100-$G$29)/100</f>
        <v>1.7354400000000001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21" ht="12.75" customHeight="1">
      <c r="A40" s="7" t="str">
        <f>+System10!$A$36</f>
        <v>horný profil rámu (vodiaca lišta)</v>
      </c>
      <c r="B40" s="16">
        <f>+VLOOKUP(L32,data!C296:D301,2,0)</f>
        <v>222573</v>
      </c>
      <c r="C40" s="25" t="e">
        <f>+VLOOKUP(B40,cennik!$A$3:$G$701,2,FALSE)</f>
        <v>#N/A</v>
      </c>
      <c r="D40" s="65">
        <f>M32</f>
        <v>0</v>
      </c>
      <c r="E40" s="92">
        <f>+VLOOKUP(B40,cennik!$A:$G,3,FALSE)</f>
        <v>13.84198</v>
      </c>
      <c r="F40" s="92">
        <f t="shared" si="1"/>
        <v>0</v>
      </c>
      <c r="G40" s="93">
        <f t="shared" si="2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21" ht="12.75" customHeight="1">
      <c r="A41" s="7" t="str">
        <f>+System10!$A$36</f>
        <v>horný profil rámu (vodiaca lišta)</v>
      </c>
      <c r="B41" s="6" t="str">
        <f>IF(L34&lt;&gt;"jiné",VLOOKUP(L34,data!C296:D301,2,0),"")</f>
        <v/>
      </c>
      <c r="C41" s="38" t="str">
        <f>IF(L34&lt;&gt;"jiné",+VLOOKUP(B41,cennik!$A$3:$G$701,2,FALSE),texty!$A$2)</f>
        <v>druhá lišta nieje potrebná</v>
      </c>
      <c r="D41" s="65">
        <f>M34</f>
        <v>0</v>
      </c>
      <c r="E41" s="94">
        <f>IF(L34&lt;&gt;"jiné",+VLOOKUP(B41,cennik!$A:$G,3,FALSE),0)</f>
        <v>0</v>
      </c>
      <c r="F41" s="92">
        <f t="shared" si="1"/>
        <v>0</v>
      </c>
      <c r="G41" s="93">
        <f>+F41*(100-$G$29)/100</f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 t="str">
        <f>+System10!L24</f>
        <v xml:space="preserve">1700-strieborná </v>
      </c>
    </row>
    <row r="42" spans="1:21" ht="12.75" customHeight="1">
      <c r="A42" s="7" t="str">
        <f>+System10!A38</f>
        <v>horizontálny spodný profil rámu</v>
      </c>
      <c r="B42" s="16">
        <f>+VLOOKUP(L32,data!$C$373:$D$378,2,0)</f>
        <v>222574</v>
      </c>
      <c r="C42" s="25" t="e">
        <f>+VLOOKUP(B42,cennik!$A$3:$G$701,2,FALSE)</f>
        <v>#N/A</v>
      </c>
      <c r="D42" s="65">
        <f>M32</f>
        <v>0</v>
      </c>
      <c r="E42" s="92">
        <f>+VLOOKUP(B42,cennik!$A:$G,3,FALSE)</f>
        <v>21.58042</v>
      </c>
      <c r="F42" s="92">
        <f t="shared" si="1"/>
        <v>0</v>
      </c>
      <c r="G42" s="93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3"/>
    </row>
    <row r="43" spans="1:21" ht="12.75" customHeight="1">
      <c r="A43" s="7" t="str">
        <f>+System10!A39</f>
        <v>horizontálny spodný profil rámu</v>
      </c>
      <c r="B43" s="6" t="str">
        <f>IF(L34&lt;&gt;"jiné",+VLOOKUP(L34,data!$C$373:$D$378,2,0),"")</f>
        <v/>
      </c>
      <c r="C43" s="25" t="str">
        <f>IF(L34&lt;&gt;"jiné",+VLOOKUP(B43,cennik!$A$3:$G$701,2,FALSE),texty!A2)</f>
        <v>druhá lišta nieje potrebná</v>
      </c>
      <c r="D43" s="65">
        <f>M34</f>
        <v>0</v>
      </c>
      <c r="E43" s="94">
        <f>IF(L34&lt;&gt;"jiné",+VLOOKUP(B41,cennik!$A:$G,3,FALSE),0)</f>
        <v>0</v>
      </c>
      <c r="F43" s="92">
        <f>+E43*D43</f>
        <v>0</v>
      </c>
      <c r="G43" s="93">
        <f>+F43*(100-$G$29)/100</f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3"/>
    </row>
    <row r="44" spans="1:21" ht="12.75" customHeight="1">
      <c r="A44" s="7"/>
      <c r="B44" s="6"/>
      <c r="C44" s="25"/>
      <c r="D44" s="65"/>
      <c r="E44" s="94"/>
      <c r="F44" s="92"/>
      <c r="G44" s="93"/>
      <c r="I44" s="483" t="str">
        <f>IFERROR(IF((VLOOKUP(B44,cennik!A:L,12,0))="O",texty!$A$250,""),"")</f>
        <v/>
      </c>
      <c r="J44" s="196"/>
      <c r="K44" s="3"/>
    </row>
    <row r="45" spans="1:21" ht="12.75" customHeight="1">
      <c r="A45" s="14" t="str">
        <f>texty!$A$66</f>
        <v>Voliteľné príslušenstvo:</v>
      </c>
      <c r="B45" s="15"/>
      <c r="D45" s="26" t="str">
        <f>System10!$D$41</f>
        <v>zadajte počet:</v>
      </c>
      <c r="E45" s="96"/>
      <c r="F45" s="96"/>
      <c r="G45" s="95"/>
      <c r="I45" s="483" t="str">
        <f>IFERROR(IF((VLOOKUP(B45,cennik!A:L,12,0))="O",texty!$A$250,""),"")</f>
        <v/>
      </c>
      <c r="J45" s="196"/>
      <c r="K45" s="3"/>
    </row>
    <row r="46" spans="1:21" ht="12.75" customHeight="1">
      <c r="A46" s="7" t="str">
        <f>texty!$A$88</f>
        <v>pozicionér do horného vedenia</v>
      </c>
      <c r="B46" s="15">
        <v>298035</v>
      </c>
      <c r="C46" s="25" t="str">
        <f>+VLOOKUP(B46,cennik!$A:$G,2,FALSE)</f>
        <v>SEVROLL Fix pozicionér pre horný vozík tran.</v>
      </c>
      <c r="D46" s="29"/>
      <c r="E46" s="92">
        <f>+VLOOKUP(B46,cennik!$A:$G,3,FALSE)</f>
        <v>1.0605800000000001</v>
      </c>
      <c r="F46" s="97">
        <f>+CEILING(D46,1)*E46</f>
        <v>0</v>
      </c>
      <c r="G46" s="93">
        <f>+F46*(100-$G$29)/100</f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7" t="str">
        <f>+System10!$A$43</f>
        <v xml:space="preserve">pozicionér </v>
      </c>
      <c r="B47" s="211">
        <v>229681</v>
      </c>
      <c r="C47" s="25" t="str">
        <f>+VLOOKUP(B47,cennik!$A:$G,2,FALSE)</f>
        <v>SEVROLL Simple pozicionér pre spodný vozík</v>
      </c>
      <c r="D47" s="29"/>
      <c r="E47" s="92">
        <f>+VLOOKUP(B47,cennik!$A:$G,3,FALSE)</f>
        <v>0.40872000000000003</v>
      </c>
      <c r="F47" s="97">
        <f>+CEILING(D47,1)*E47</f>
        <v>0</v>
      </c>
      <c r="G47" s="93">
        <f>+F47*(100-$G$29)/100</f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6"/>
    </row>
    <row r="48" spans="1:21" ht="12.75" customHeight="1">
      <c r="A48" s="7" t="str">
        <f>texty!$A$179</f>
        <v>skrutka k spodnémi vedeniu</v>
      </c>
      <c r="B48" s="15">
        <v>98019</v>
      </c>
      <c r="C48" s="25" t="str">
        <f>+VLOOKUP(B48,cennik!$A:$G,2,FALSE)</f>
        <v>SEVROLL-skrutka 2,5*18MM</v>
      </c>
      <c r="D48" s="29"/>
      <c r="E48" s="92">
        <f>+VLOOKUP(B48,cennik!$A:$G,3,FALSE)</f>
        <v>2.8680000000000001E-2</v>
      </c>
      <c r="F48" s="97">
        <f>+CEILING(D48,1)*E48</f>
        <v>0</v>
      </c>
      <c r="G48" s="93">
        <f>+F48*(100-$G$29)/100</f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6"/>
    </row>
    <row r="49" spans="1:11" ht="12.75" customHeight="1">
      <c r="A49" s="7" t="str">
        <f>texty!$A$203</f>
        <v>spojovací H profil Simple 10</v>
      </c>
      <c r="B49" s="16">
        <f>+VLOOKUP(K27,data!$C$296:$D$301,2,0)</f>
        <v>224146</v>
      </c>
      <c r="C49" s="25" t="str">
        <f>+VLOOKUP(B49,cennik!$A:$G,2,FALSE)</f>
        <v>SEVROLL hor.vod.lišta Simple/Blue 1,5m(10mm)str.</v>
      </c>
      <c r="D49" s="30"/>
      <c r="E49" s="92">
        <f>+VLOOKUP(B49,cennik!$A:$G,3,FALSE)</f>
        <v>7.0572299999999997</v>
      </c>
      <c r="F49" s="92">
        <f>+E49*D49</f>
        <v>0</v>
      </c>
      <c r="G49" s="93">
        <f t="shared" ref="G49:G57" si="3">+F49*(100-$G$29)/100</f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6"/>
    </row>
    <row r="50" spans="1:11" ht="12.75" customHeight="1">
      <c r="A50" s="7" t="str">
        <f>texty!$A$203</f>
        <v>spojovací H profil Simple 10</v>
      </c>
      <c r="B50" s="16">
        <f>+VLOOKUP(K28,data!$C$296:$D$301,2,0)</f>
        <v>224147</v>
      </c>
      <c r="C50" s="25" t="str">
        <f>+VLOOKUP(B50,cennik!$A:$G,2,FALSE)</f>
        <v>SEVROLL hor.vod.lišta Simple/Blue 2m(10mm)str.</v>
      </c>
      <c r="D50" s="30"/>
      <c r="E50" s="92">
        <f>+VLOOKUP(B50,cennik!$A:$G,3,FALSE)</f>
        <v>9.3188200000000005</v>
      </c>
      <c r="F50" s="92">
        <f>+E50*D50</f>
        <v>0</v>
      </c>
      <c r="G50" s="93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1" ht="12.75" customHeight="1">
      <c r="A51" s="7" t="str">
        <f>texty!$A$203</f>
        <v>spojovací H profil Simple 10</v>
      </c>
      <c r="B51" s="16">
        <f>+VLOOKUP(K29,data!$C$296:$D$301,2,0)</f>
        <v>222573</v>
      </c>
      <c r="C51" s="25" t="str">
        <f>+VLOOKUP(B51,cennik!$A:$G,2,FALSE)</f>
        <v>SEVROLL horná vod.lišta Simple/Blue 3m(10mm)str.</v>
      </c>
      <c r="D51" s="30"/>
      <c r="E51" s="92">
        <f>+VLOOKUP(B51,cennik!$A:$G,3,FALSE)</f>
        <v>13.84198</v>
      </c>
      <c r="F51" s="92">
        <f>+E51*D51</f>
        <v>0</v>
      </c>
      <c r="G51" s="93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6"/>
    </row>
    <row r="52" spans="1:11" ht="12.75" customHeight="1">
      <c r="A52" s="436" t="str">
        <f>texty!$A$228</f>
        <v> Tlmič dorazu MINI do 25 kg (pár)</v>
      </c>
      <c r="B52" s="16">
        <v>350024</v>
      </c>
      <c r="C52" s="25" t="str">
        <f>+VLOOKUP(B52,cennik!$A:$G,2,FALSE)</f>
        <v/>
      </c>
      <c r="D52" s="547"/>
      <c r="E52" s="92">
        <f>+VLOOKUP(B52,cennik!$A:$G,3,FALSE)</f>
        <v>27.220749999999999</v>
      </c>
      <c r="F52" s="97">
        <f>+CEILING(D52,1)*E52</f>
        <v>0</v>
      </c>
      <c r="G52" s="93">
        <f t="shared" si="3"/>
        <v>0</v>
      </c>
      <c r="H52" s="6" t="str">
        <f>cennik!$B$2</f>
        <v>EUR</v>
      </c>
      <c r="I52" s="483" t="str">
        <f>IFERROR(IF((VLOOKUP(B52,cennik!A:L,12,0))="O",texty!$A$250,""),"")</f>
        <v>Na objednávku</v>
      </c>
      <c r="J52" s="196" t="str">
        <f>IF(D52&gt;0,IF(VLOOKUP(B52,cennik!A:L,12,FALSE)="O",1,""),"")</f>
        <v/>
      </c>
      <c r="K52" s="6"/>
    </row>
    <row r="53" spans="1:11" ht="12.75" customHeight="1">
      <c r="A53" s="436" t="str">
        <f>texty!$A$229</f>
        <v> Tlmič dorazu MINI do 40 kg (pár)</v>
      </c>
      <c r="B53" s="24">
        <v>293776</v>
      </c>
      <c r="C53" s="25" t="str">
        <f>+VLOOKUP(B53,cennik!$A:$G,2,FALSE)</f>
        <v>SEVROLL tlmič doraz.Simple 10/18 40kg(L+P)</v>
      </c>
      <c r="D53" s="29"/>
      <c r="E53" s="92">
        <f>+VLOOKUP(B53,cennik!$A:$G,3,FALSE)</f>
        <v>27.220749999999999</v>
      </c>
      <c r="F53" s="97">
        <f>+CEILING(D53,1)*E53</f>
        <v>0</v>
      </c>
      <c r="G53" s="93">
        <f t="shared" si="3"/>
        <v>0</v>
      </c>
      <c r="H53" s="6" t="str">
        <f>cennik!$B$2</f>
        <v>EUR</v>
      </c>
      <c r="I53" s="483" t="str">
        <f>IFERROR(IF((VLOOKUP(B53,cennik!A:L,12,0))="O",texty!$A$250,""),"")</f>
        <v>Na objednávku</v>
      </c>
      <c r="J53" s="196" t="str">
        <f>IF(D53&gt;0,IF(VLOOKUP(B53,cennik!A:L,12,FALSE)="O",1,""),"")</f>
        <v/>
      </c>
      <c r="K53" s="6"/>
    </row>
    <row r="54" spans="1:11" ht="12.75" customHeight="1">
      <c r="A54" s="549"/>
      <c r="B54" s="554"/>
      <c r="C54" s="550"/>
      <c r="D54" s="548"/>
      <c r="E54" s="551"/>
      <c r="F54" s="555"/>
      <c r="G54" s="552"/>
      <c r="H54" s="553"/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A55" s="549"/>
      <c r="B55" s="554"/>
      <c r="C55" s="550"/>
      <c r="D55" s="548"/>
      <c r="E55" s="551"/>
      <c r="F55" s="555"/>
      <c r="G55" s="552"/>
      <c r="H55" s="553"/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6"/>
    </row>
    <row r="56" spans="1:11" ht="12.75" customHeight="1">
      <c r="A56" s="549"/>
      <c r="B56" s="554"/>
      <c r="C56" s="550"/>
      <c r="D56" s="548"/>
      <c r="E56" s="551"/>
      <c r="F56" s="555"/>
      <c r="G56" s="552"/>
      <c r="H56" s="553"/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6"/>
    </row>
    <row r="57" spans="1:11" ht="12.75" customHeight="1">
      <c r="A57" s="7" t="str">
        <f>texty!$A$92</f>
        <v>spojovacia skrutka</v>
      </c>
      <c r="B57" s="16">
        <v>89244</v>
      </c>
      <c r="C57" s="25" t="str">
        <f>+VLOOKUP(B57,cennik!$A:$G,2,FALSE)</f>
        <v>SEVROLL šroubovrut 6,3*32 -Sevroll a Simple</v>
      </c>
      <c r="D57" s="30"/>
      <c r="E57" s="92">
        <f>+VLOOKUP(B57,cennik!$A:$G,3,FALSE)</f>
        <v>0.14462</v>
      </c>
      <c r="F57" s="92">
        <f>+E57*D57</f>
        <v>0</v>
      </c>
      <c r="G57" s="93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6"/>
    </row>
    <row r="58" spans="1:11" ht="12.75" customHeight="1">
      <c r="I58" s="483" t="str">
        <f>IFERROR(IF((VLOOKUP(B58,cennik!A:L,12,0))="O",texty!$A$250,""),"")</f>
        <v/>
      </c>
      <c r="J58" s="196"/>
      <c r="K58" s="6"/>
    </row>
    <row r="59" spans="1:11" ht="12.75" customHeight="1">
      <c r="H59" s="5"/>
      <c r="I59" s="483" t="str">
        <f>IFERROR(IF((VLOOKUP(B59,cennik!A:L,12,0))="O",texty!$A$250,""),"")</f>
        <v/>
      </c>
      <c r="J59" s="196" t="str">
        <f>IF(D57&gt;0,IF(VLOOKUP(B57,cennik!A:L,12,FALSE)="O",1,""),"")</f>
        <v/>
      </c>
      <c r="K59" s="6"/>
    </row>
    <row r="60" spans="1:11" ht="12.75" customHeight="1">
      <c r="A60" s="41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60" s="42"/>
      <c r="C60" s="43"/>
      <c r="D60" s="44"/>
      <c r="E60" s="98"/>
      <c r="F60" s="98"/>
      <c r="G60" s="99"/>
      <c r="I60" s="483" t="str">
        <f>IFERROR(IF((VLOOKUP(B60,cennik!A:L,12,0))="O",texty!$A$250,""),"")</f>
        <v/>
      </c>
      <c r="J60" s="196" t="str">
        <f>IF(D60&gt;0,IF(VLOOKUP(B60,cennik!A:L,12,FALSE)="O",1,""),"")</f>
        <v/>
      </c>
      <c r="K60" s="6"/>
    </row>
    <row r="61" spans="1:11" ht="12.75" customHeight="1">
      <c r="C61" s="40" t="str">
        <f>texty!$A$10</f>
        <v>Potrebná dĺžka tesnenia pri celkovom presklení (nutné objednať celé metre)</v>
      </c>
      <c r="D61" s="39">
        <f>CEILING(((B9+C9)*2/1000*D4),1)</f>
        <v>0</v>
      </c>
      <c r="E61" s="95"/>
      <c r="F61" s="95"/>
      <c r="G61" s="95"/>
      <c r="I61" s="483" t="str">
        <f>IFERROR(IF((VLOOKUP(B61,cennik!A:L,12,0))="O",texty!$A$250,""),"")</f>
        <v/>
      </c>
      <c r="J61" s="196"/>
      <c r="K61" s="6"/>
    </row>
    <row r="62" spans="1:11" ht="12.75" customHeight="1">
      <c r="A62" s="48" t="str">
        <f>texty!$A$12</f>
        <v>(pri kombináciach s H profilmi je nutné pripočítať potrebnú dĺžku - tesnenie musí byť po celom odvode každého skla</v>
      </c>
      <c r="B62" s="46"/>
      <c r="C62" s="47"/>
      <c r="D62" s="46"/>
      <c r="E62" s="100"/>
      <c r="F62" s="100"/>
      <c r="G62" s="100"/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6"/>
    </row>
    <row r="63" spans="1:11" ht="12.75" customHeight="1">
      <c r="A63" s="7" t="str">
        <f>System10!A59</f>
        <v>tesnenie na sklo 4mm</v>
      </c>
      <c r="B63" s="17">
        <v>89238</v>
      </c>
      <c r="C63" s="25" t="str">
        <f>+VLOOKUP(B63,cennik!$A:$G,2,FALSE)</f>
        <v>SEVROLL tesnenie na sklo 10/4mm</v>
      </c>
      <c r="D63" s="45"/>
      <c r="E63" s="92">
        <f>+VLOOKUP(B63,cennik!$A:$G,3,FALSE)</f>
        <v>0.89917999999999998</v>
      </c>
      <c r="F63" s="97">
        <f>+CEILING(D63,1)*E63</f>
        <v>0</v>
      </c>
      <c r="G63" s="93">
        <f>+F63*(100-$G$29)/100</f>
        <v>0</v>
      </c>
      <c r="H63" s="6" t="str">
        <f>cennik!$B$2</f>
        <v>EUR</v>
      </c>
      <c r="I63" s="483" t="str">
        <f>IFERROR(IF((VLOOKUP(B63,cennik!A:L,12,0))="O",texty!$A$250,""),"")</f>
        <v/>
      </c>
      <c r="J63" s="196" t="str">
        <f>IF(D63&gt;0,IF(VLOOKUP(B63,cennik!A:L,12,FALSE)="O",1,""),"")</f>
        <v/>
      </c>
      <c r="K63" s="6"/>
    </row>
    <row r="64" spans="1:11" ht="12.75" customHeight="1">
      <c r="A64" s="7" t="str">
        <f>texty!A103</f>
        <v>tesnenie na sklo 4,5 mm</v>
      </c>
      <c r="B64" s="17">
        <v>135164</v>
      </c>
      <c r="C64" s="25" t="str">
        <f>+VLOOKUP(B64,cennik!$A:$G,2,FALSE)</f>
        <v>SEVROLL- TESNENIE NA SKLO 4,5mm</v>
      </c>
      <c r="D64" s="45"/>
      <c r="E64" s="92">
        <f>+VLOOKUP(B64,cennik!$A:$G,3,FALSE)</f>
        <v>0.79542999999999997</v>
      </c>
      <c r="F64" s="97">
        <f>+CEILING(D64,1)*E64</f>
        <v>0</v>
      </c>
      <c r="G64" s="93">
        <f>+F64*(100-$G$29)/100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96" t="str">
        <f>IF(D64&gt;0,IF(VLOOKUP(B64,cennik!A:L,12,FALSE)="O",1,""),"")</f>
        <v/>
      </c>
      <c r="K64" s="3"/>
    </row>
    <row r="65" spans="1:13" ht="12.75" customHeight="1">
      <c r="A65" s="7" t="str">
        <f>System10!A61</f>
        <v>tesnenie na sklo 6mm</v>
      </c>
      <c r="B65" s="17">
        <v>89243</v>
      </c>
      <c r="C65" s="25" t="str">
        <f>+VLOOKUP(B65,cennik!$A:$G,2,FALSE)</f>
        <v>SEVROLL tesnenie na sklo 10/6mm</v>
      </c>
      <c r="D65" s="45"/>
      <c r="E65" s="92">
        <f>+VLOOKUP(B65,cennik!$A:$G,3,FALSE)</f>
        <v>0.89917999999999998</v>
      </c>
      <c r="F65" s="97">
        <f>+CEILING(D65,1)*E65</f>
        <v>0</v>
      </c>
      <c r="G65" s="93">
        <f>+F65*(100-$G$29)/100</f>
        <v>0</v>
      </c>
      <c r="H65" s="6" t="str">
        <f>cennik!$B$2</f>
        <v>EUR</v>
      </c>
      <c r="I65" s="483" t="str">
        <f>IFERROR(IF((VLOOKUP(B65,cennik!A:L,12,0))="O",texty!$A$250,""),"")</f>
        <v/>
      </c>
      <c r="J65" s="196" t="str">
        <f>IF(D65&gt;0,IF(VLOOKUP(B65,cennik!A:L,12,FALSE)="O",1,""),"")</f>
        <v/>
      </c>
      <c r="K65" s="6"/>
    </row>
    <row r="66" spans="1:13" ht="16">
      <c r="A66" s="285" t="str">
        <f>texty!$A$190</f>
        <v>Ďalšie príslušenstvo</v>
      </c>
      <c r="E66" s="95"/>
      <c r="F66" s="95"/>
      <c r="G66" s="95"/>
      <c r="I66" s="483" t="str">
        <f>IFERROR(IF((VLOOKUP(B66,cennik!A:L,12,0))="O",texty!$A$250,""),"")</f>
        <v/>
      </c>
      <c r="J66" s="196" t="str">
        <f>IF(D66&gt;0,IF(VLOOKUP(B66,cennik!A:L,12,FALSE)="O",1,""),"")</f>
        <v/>
      </c>
      <c r="K66" s="6"/>
    </row>
    <row r="67" spans="1:13" ht="12.75" customHeight="1">
      <c r="A67" s="285" t="str">
        <f>texty!$A$244</f>
        <v>Technický nákres tohoto systému</v>
      </c>
      <c r="B67" s="172">
        <v>128842</v>
      </c>
      <c r="C67" s="172" t="str">
        <f>VLOOKUP(B67,cennik!A:C,2,0)</f>
        <v>SEVROLL-VRTÁK STUPŇOVITÝ 6,5/9,5mm</v>
      </c>
      <c r="D67" s="45"/>
      <c r="E67" s="92">
        <f>+VLOOKUP(B67,cennik!$A:$G,3,FALSE)</f>
        <v>23.986910000000002</v>
      </c>
      <c r="F67" s="97">
        <f>+CEILING(D67,1)*E67</f>
        <v>0</v>
      </c>
      <c r="G67" s="93">
        <f>F67</f>
        <v>0</v>
      </c>
      <c r="H67" s="6" t="str">
        <f>cennik!$B$2</f>
        <v>EUR</v>
      </c>
      <c r="I67" s="483" t="str">
        <f>IFERROR(IF((VLOOKUP(B67,cennik!A:L,12,0))="O",texty!$A$250,""),"")</f>
        <v/>
      </c>
      <c r="J67" s="196" t="str">
        <f>IF(D67&gt;0,IF(VLOOKUP(B67,cennik!A:L,12,FALSE)="O",1,""),"")</f>
        <v/>
      </c>
      <c r="K67" s="6"/>
    </row>
    <row r="68" spans="1:13" ht="12.75" customHeight="1">
      <c r="E68" s="95"/>
      <c r="F68" s="95"/>
      <c r="G68" s="95"/>
      <c r="I68" s="186"/>
      <c r="J68" s="186"/>
    </row>
    <row r="69" spans="1:13" ht="12.75" customHeight="1">
      <c r="B69" s="8"/>
      <c r="C69" s="8"/>
      <c r="D69" s="77" t="str">
        <f>texty!$A$15</f>
        <v>CELKOM  (bez DPH)</v>
      </c>
      <c r="E69" s="100"/>
      <c r="F69" s="102">
        <f>SUM(F31:F67)</f>
        <v>88.302340000000001</v>
      </c>
      <c r="G69" s="102">
        <f>SUM(G31:G67)</f>
        <v>88.302340000000001</v>
      </c>
      <c r="H69" s="6" t="str">
        <f>cennik!$B$2</f>
        <v>EUR</v>
      </c>
      <c r="I69" s="186"/>
      <c r="J69" s="186"/>
      <c r="K69" s="5" t="str">
        <f>texty!A128</f>
        <v xml:space="preserve">strieborná </v>
      </c>
    </row>
    <row r="70" spans="1:13" ht="12.75" customHeight="1">
      <c r="A70" s="76" t="str">
        <f>System10!$A$67</f>
        <v>Vaša poznámka:</v>
      </c>
      <c r="B70" s="665"/>
      <c r="C70" s="666"/>
      <c r="D70" s="666"/>
      <c r="E70" s="666"/>
      <c r="F70" s="666"/>
      <c r="G70" s="666"/>
      <c r="K70" s="5" t="str">
        <f>texty!A130</f>
        <v>oliva</v>
      </c>
    </row>
    <row r="71" spans="1:13" ht="12.75" customHeight="1">
      <c r="A71" s="657">
        <f>profil!$U$15</f>
        <v>0</v>
      </c>
      <c r="B71" s="658"/>
      <c r="C71" s="658"/>
      <c r="D71" s="658"/>
      <c r="E71" s="658"/>
      <c r="F71" s="658"/>
      <c r="G71" s="658"/>
    </row>
    <row r="72" spans="1:13" ht="12.75" customHeight="1">
      <c r="A72" s="659" t="str">
        <f>IF(M72=1,texty!$A$215,IF(J72&gt;0,texty!$A$214,""))</f>
        <v>některé položky sú na objednávku, počítajte prosím s dodaciou  lehotou  do 5 týždnov</v>
      </c>
      <c r="B72" s="659"/>
      <c r="C72" s="659"/>
      <c r="D72" s="659"/>
      <c r="E72" s="659"/>
      <c r="F72" s="659"/>
      <c r="G72" s="659"/>
      <c r="J72" s="6">
        <f>SUM(J31:J67)</f>
        <v>2</v>
      </c>
      <c r="M72" s="5">
        <f>IF(ISERROR(J72),1,0)</f>
        <v>0</v>
      </c>
    </row>
    <row r="73" spans="1:13" ht="12.75" customHeight="1"/>
    <row r="85" spans="1:1" ht="12.75" hidden="1" customHeight="1">
      <c r="A85" s="5">
        <v>3</v>
      </c>
    </row>
  </sheetData>
  <sheetProtection algorithmName="SHA-512" hashValue="bB6zS9JhOo50KO2zOybVMrk+qSOJoHw4dHTXixHo04UToMyYT0aKMxSBZc9IdFtTWsF7eP1qAV4zGSo+BX0FIw==" saltValue="yH+mr9yUMMQVfyi28Cj4MA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D6">
    <cfRule type="expression" dxfId="165" priority="8">
      <formula>$D$4=4</formula>
    </cfRule>
    <cfRule type="expression" dxfId="164" priority="9">
      <formula>$D$4&lt;&gt;4</formula>
    </cfRule>
  </conditionalFormatting>
  <conditionalFormatting sqref="F4:I6">
    <cfRule type="expression" dxfId="163" priority="7">
      <formula>$D$4=4</formula>
    </cfRule>
  </conditionalFormatting>
  <conditionalFormatting sqref="D57">
    <cfRule type="expression" dxfId="162" priority="5" stopIfTrue="1">
      <formula>IF(#REF!&gt;0,IF($D$56=0,1,0),0)</formula>
    </cfRule>
  </conditionalFormatting>
  <conditionalFormatting sqref="A14">
    <cfRule type="expression" dxfId="161" priority="4">
      <formula>SUM($D$52:$D$53)&gt;0</formula>
    </cfRule>
  </conditionalFormatting>
  <conditionalFormatting sqref="A16">
    <cfRule type="expression" dxfId="160" priority="3">
      <formula>SUM($D$55:$D$56)&gt;0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 2740 mm" sqref="B4" xr:uid="{00000000-0002-0000-1000-000002000000}">
      <formula1>0</formula1>
      <formula2>2740</formula2>
    </dataValidation>
    <dataValidation type="list" allowBlank="1" showInputMessage="1" showErrorMessage="1" sqref="E5:E6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17992BA-B230-4476-9622-5AC170B765CB}">
            <xm:f>$I31=texty!$A$250</xm:f>
            <x14:dxf>
              <font>
                <color rgb="FFFF0000"/>
              </font>
            </x14:dxf>
          </x14:cfRule>
          <xm:sqref>I31:I67</xm:sqref>
        </x14:conditionalFormatting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A31:H67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4">
    <pageSetUpPr fitToPage="1"/>
  </sheetPr>
  <dimension ref="A1:IU80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5.83203125" style="5" customWidth="1"/>
    <col min="2" max="2" width="15.83203125" style="5" customWidth="1"/>
    <col min="3" max="3" width="37.5" style="5" customWidth="1"/>
    <col min="4" max="4" width="14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30.1640625" style="6" customWidth="1"/>
    <col min="10" max="10" width="14.1640625" style="6" hidden="1" customWidth="1"/>
    <col min="11" max="11" width="5.83203125" style="5" hidden="1" customWidth="1"/>
    <col min="12" max="12" width="5.5" style="5" hidden="1" customWidth="1"/>
    <col min="13" max="13" width="4.664062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255" width="9.1640625" style="5" hidden="1" customWidth="1"/>
    <col min="256" max="16384" width="5.5" style="5" hidden="1"/>
  </cols>
  <sheetData>
    <row r="1" spans="1:15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-7</v>
      </c>
    </row>
    <row r="2" spans="1:15" ht="18.75" customHeight="1">
      <c r="A2" s="538" t="s">
        <v>279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15" ht="29" thickBot="1">
      <c r="A3" s="539" t="str">
        <f>CONCATENATE(texty!A243," ",5,".",91)</f>
        <v>katalóg kovania 2018 str. 5.91</v>
      </c>
      <c r="B3" s="434" t="str">
        <f>CONCATENATE(texty!A34," / max.         2 738 mm /")</f>
        <v>výška / max.         2 738 mm /</v>
      </c>
      <c r="C3" s="9" t="str">
        <f>CONCATENATE(texty!A35,"/max 6000/")</f>
        <v>šírka/max 6000/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15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664"/>
      <c r="G4" s="664"/>
      <c r="H4" s="664"/>
      <c r="I4" s="664"/>
      <c r="J4" s="195"/>
      <c r="K4" s="8"/>
    </row>
    <row r="5" spans="1:15" ht="18" customHeight="1">
      <c r="A5" s="669" t="str">
        <f>IF(E4&lt;&gt;K74,texty!$A$3,"")</f>
        <v/>
      </c>
      <c r="B5" s="669"/>
      <c r="C5" s="669"/>
      <c r="D5" s="669"/>
      <c r="E5" s="669"/>
      <c r="F5" s="664"/>
      <c r="G5" s="664"/>
      <c r="H5" s="664"/>
      <c r="I5" s="664"/>
      <c r="J5" s="195"/>
      <c r="K5" s="3"/>
    </row>
    <row r="6" spans="1:15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</row>
    <row r="7" spans="1:15" ht="12.75" customHeight="1">
      <c r="A7" s="10" t="str">
        <f>+System10!$A$7</f>
        <v>krídlo dverí:</v>
      </c>
      <c r="B7" s="57">
        <f>+B4-38</f>
        <v>-38</v>
      </c>
      <c r="C7" s="59">
        <f>+((C4-3+25*(D4-1))/D4+IF(AND(D4=4,D6=2),L1,0))</f>
        <v>15.666666666666666</v>
      </c>
      <c r="D7" s="8"/>
      <c r="E7" s="8"/>
      <c r="F7" s="50" t="str">
        <f>texty!$A$39</f>
        <v>V prípade použitia skla ako výplne</v>
      </c>
      <c r="G7" s="6"/>
      <c r="K7" s="6"/>
      <c r="N7" s="17">
        <f>IF(C4&lt;1801,1800,IF(C4&lt;2501,2500,IF(C4&lt;3501,3500,IF(C4&lt;4301,4300,IF(C4&lt;6001,6000,"chybná hodnota")))))</f>
        <v>1800</v>
      </c>
      <c r="O7" s="21" t="str">
        <f>+E4</f>
        <v xml:space="preserve">strieborná </v>
      </c>
    </row>
    <row r="8" spans="1:15" ht="12.75" customHeight="1">
      <c r="A8" s="10" t="str">
        <f>texty!$A$48</f>
        <v>rozmer výplne 18mm:</v>
      </c>
      <c r="B8" s="57">
        <f>+B7-68</f>
        <v>-106</v>
      </c>
      <c r="C8" s="59">
        <f>+C7-31</f>
        <v>-15.333333333333334</v>
      </c>
      <c r="D8" s="8"/>
      <c r="E8" s="8"/>
      <c r="F8" s="50" t="str">
        <f>texty!$A$40</f>
        <v>je treba použiť bezpečnostné sklo</v>
      </c>
      <c r="G8" s="6"/>
      <c r="K8" s="6"/>
      <c r="N8" s="23" t="str">
        <f>CONCATENATE(N7,"-",E4)</f>
        <v xml:space="preserve">1800-strieborná </v>
      </c>
      <c r="O8" s="21"/>
    </row>
    <row r="9" spans="1:15" ht="12.75" customHeight="1">
      <c r="A9" s="10" t="str">
        <f>+System10!$A$9</f>
        <v>rozmer zrkadla / skla</v>
      </c>
      <c r="B9" s="61">
        <f>+B8</f>
        <v>-106</v>
      </c>
      <c r="C9" s="59">
        <f>C8-4</f>
        <v>-19.333333333333336</v>
      </c>
      <c r="D9" s="8"/>
      <c r="E9" s="8"/>
      <c r="F9" s="50" t="str">
        <f>texty!$A$41</f>
        <v>alebo sklo zabezpečiť ochrannou fóliou</v>
      </c>
      <c r="G9" s="6"/>
      <c r="K9" s="37"/>
      <c r="L9" s="36"/>
    </row>
    <row r="10" spans="1:15" ht="12.75" customHeight="1">
      <c r="A10" s="10" t="str">
        <f>+System10!$A$12</f>
        <v>úchytková lišta</v>
      </c>
      <c r="B10" s="525">
        <f>B7</f>
        <v>-38</v>
      </c>
      <c r="D10" s="8"/>
      <c r="E10" s="8"/>
      <c r="F10" s="3" t="str">
        <f>texty!$A$43</f>
        <v>Maximálna hmotnosť krídla je 50 kg</v>
      </c>
      <c r="G10" s="6"/>
      <c r="N10" s="17"/>
      <c r="O10" s="21"/>
    </row>
    <row r="11" spans="1:15" ht="12.75" customHeight="1">
      <c r="A11" s="10" t="str">
        <f>texty!$A$74</f>
        <v>dĺžka vodiacej a krycej lišty krídla</v>
      </c>
      <c r="B11" s="65"/>
      <c r="C11" s="69">
        <f>C7-47.4</f>
        <v>-31.733333333333334</v>
      </c>
      <c r="D11" s="8"/>
      <c r="E11" s="8"/>
      <c r="F11" s="3"/>
      <c r="G11" s="6"/>
      <c r="K11" s="36"/>
      <c r="N11" s="23"/>
      <c r="O11" s="21"/>
    </row>
    <row r="12" spans="1:15" ht="12.75" customHeight="1">
      <c r="A12" s="7" t="str">
        <f>System10!A13</f>
        <v>Dĺžka tesnenia na sklo na jednom krídle</v>
      </c>
      <c r="B12" s="58"/>
      <c r="C12" s="145">
        <f>B8*2+C8*2</f>
        <v>-242.66666666666666</v>
      </c>
      <c r="D12" s="8"/>
      <c r="E12" s="8"/>
      <c r="F12" s="6"/>
      <c r="G12" s="6"/>
      <c r="K12" s="6"/>
    </row>
    <row r="13" spans="1:15" ht="12.75" customHeight="1">
      <c r="A13" s="644" t="str">
        <f>IF(SUM(D44:D45)&gt;0,texty!A246,"")</f>
        <v/>
      </c>
      <c r="B13" s="644"/>
      <c r="C13" s="87"/>
      <c r="D13" s="8"/>
      <c r="E13" s="8"/>
      <c r="G13" s="40"/>
      <c r="K13" s="35"/>
    </row>
    <row r="14" spans="1:15" ht="28">
      <c r="A14" s="644"/>
      <c r="B14" s="644"/>
      <c r="C14" s="516" t="str">
        <f>texty!A78</f>
        <v>dodatočné odpočty výšky vypočítaných výplní pri použití deliacich profilov výplne:</v>
      </c>
      <c r="D14" s="8"/>
      <c r="E14" s="8"/>
      <c r="K14" s="6"/>
    </row>
    <row r="15" spans="1:15" ht="13">
      <c r="A15" s="10"/>
      <c r="B15" s="8"/>
      <c r="C15" s="516"/>
      <c r="D15" s="8"/>
      <c r="E15" s="8"/>
      <c r="K15" s="6"/>
    </row>
    <row r="16" spans="1:15" ht="13">
      <c r="A16" s="10"/>
      <c r="B16" s="8"/>
      <c r="C16" s="516"/>
      <c r="D16" s="8"/>
      <c r="E16" s="8"/>
      <c r="K16" s="6"/>
    </row>
    <row r="17" spans="1:11" ht="13">
      <c r="A17" s="10"/>
      <c r="C17" s="12"/>
      <c r="D17" s="8"/>
      <c r="E17" s="8"/>
      <c r="F17" s="6"/>
      <c r="G17" s="6"/>
      <c r="K17" s="6"/>
    </row>
    <row r="18" spans="1:11" ht="13">
      <c r="A18" s="10"/>
      <c r="C18" s="12"/>
      <c r="D18" s="8"/>
      <c r="E18" s="8"/>
      <c r="F18" s="6"/>
      <c r="G18" s="6"/>
      <c r="K18" s="6"/>
    </row>
    <row r="19" spans="1:11" ht="14.25" customHeight="1">
      <c r="A19" s="10"/>
      <c r="B19" s="498" t="str">
        <f>texty!A242</f>
        <v>dilatácia 4 mm</v>
      </c>
      <c r="C19" s="27"/>
      <c r="D19" s="8"/>
      <c r="E19" s="8"/>
      <c r="F19" s="6"/>
      <c r="G19" s="6"/>
      <c r="K19" s="6"/>
    </row>
    <row r="20" spans="1:11" ht="16.5" customHeight="1">
      <c r="A20" s="10"/>
      <c r="B20" s="8"/>
      <c r="C20" s="8"/>
      <c r="E20" s="8"/>
      <c r="F20" s="6"/>
      <c r="G20" s="6"/>
      <c r="K20" s="6"/>
    </row>
    <row r="21" spans="1:11" ht="16.5" customHeight="1">
      <c r="B21" s="8"/>
      <c r="C21" s="8"/>
      <c r="D21" s="13"/>
      <c r="E21" s="8"/>
      <c r="F21" s="6"/>
      <c r="G21" s="6"/>
      <c r="K21" s="6"/>
    </row>
    <row r="22" spans="1:11" ht="12.75" customHeight="1">
      <c r="B22" s="8"/>
      <c r="C22" s="8"/>
      <c r="D22" s="8"/>
      <c r="E22" s="8"/>
      <c r="F22" s="6"/>
      <c r="K22" s="6"/>
    </row>
    <row r="23" spans="1:11" ht="12.75" customHeight="1">
      <c r="A23" s="39"/>
      <c r="B23" s="27"/>
      <c r="C23" s="8"/>
      <c r="D23" s="8"/>
      <c r="E23" s="8"/>
      <c r="F23" s="6"/>
      <c r="G23" s="135"/>
      <c r="K23" s="6"/>
    </row>
    <row r="24" spans="1:11" ht="12.75" customHeight="1">
      <c r="A24" s="7"/>
      <c r="B24" s="8"/>
      <c r="C24" s="8"/>
      <c r="D24" s="8"/>
      <c r="E24" s="8"/>
      <c r="F24" s="6"/>
      <c r="G24" s="135" t="str">
        <f>+System10!G25</f>
        <v>partnerská zľava:</v>
      </c>
      <c r="K24" s="6"/>
    </row>
    <row r="25" spans="1:11" ht="12.75" customHeight="1">
      <c r="A25" s="14" t="str">
        <f>+System10!$A$26</f>
        <v>Objednávacie kódy, ceny:</v>
      </c>
      <c r="B25" s="8"/>
      <c r="C25" s="8"/>
      <c r="D25" s="8"/>
      <c r="E25" s="8"/>
      <c r="F25" s="6"/>
      <c r="G25" s="144">
        <f>profil!C15</f>
        <v>0</v>
      </c>
      <c r="H25" s="6" t="s">
        <v>70</v>
      </c>
      <c r="K25" s="6"/>
    </row>
    <row r="26" spans="1:11" s="83" customFormat="1" ht="12.75" customHeight="1">
      <c r="A26" s="81"/>
      <c r="B26" s="82" t="str">
        <f>+System10!B27</f>
        <v>kód</v>
      </c>
      <c r="C26" s="82" t="str">
        <f>+System10!C27</f>
        <v>názov</v>
      </c>
      <c r="D26" s="82" t="str">
        <f>+System10!D27</f>
        <v>ks</v>
      </c>
      <c r="E26" s="82" t="str">
        <f>+System10!E27</f>
        <v>cena/ks</v>
      </c>
      <c r="F26" s="18" t="str">
        <f>+System10!F27</f>
        <v>cena celkom</v>
      </c>
      <c r="G26" s="18" t="str">
        <f>+System10!G27</f>
        <v>celkom netto:</v>
      </c>
      <c r="H26" s="18"/>
      <c r="I26" s="18" t="str">
        <f>texty!A29</f>
        <v>Poznámka:</v>
      </c>
      <c r="J26" s="18"/>
      <c r="K26" s="18"/>
    </row>
    <row r="27" spans="1:11" ht="12.75" customHeight="1">
      <c r="A27" s="7" t="str">
        <f>System10!A28</f>
        <v>Horný profil:</v>
      </c>
      <c r="B27" s="8">
        <f>+VLOOKUP(N8,data!$C$635:$D$639,2,0)</f>
        <v>102835</v>
      </c>
      <c r="C27" s="38" t="str">
        <f>+VLOOKUP(B27,cennik!$A:$G,2,FALSE)</f>
        <v>SEVROLL-HORNÉ VEDEN. MAXIM 1,8M STR.</v>
      </c>
      <c r="D27" s="8">
        <v>1</v>
      </c>
      <c r="E27" s="103">
        <f>+VLOOKUP(B27,cennik!$A:$G,3,FALSE)</f>
        <v>22.223890000000001</v>
      </c>
      <c r="F27" s="103">
        <f t="shared" ref="F27:F33" si="0">+E27*D27</f>
        <v>22.223890000000001</v>
      </c>
      <c r="G27" s="105">
        <f t="shared" ref="G27:G33" si="1">+F27*(100-$G$25)/100</f>
        <v>22.223890000000001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K27" s="6"/>
    </row>
    <row r="28" spans="1:11" ht="12.75" customHeight="1">
      <c r="A28" s="73" t="str">
        <f>System10!A29</f>
        <v>spodný profil:</v>
      </c>
      <c r="B28" s="8">
        <f>+VLOOKUP($N$8,data!$C$640:$D$644,2,0)</f>
        <v>180411</v>
      </c>
      <c r="C28" s="38" t="str">
        <f>+VLOOKUP(B28,cennik!$A:$G,2,FALSE)</f>
        <v>SEVROLL-SPODNÉ VED. MAXIM II 1,8M STR.</v>
      </c>
      <c r="D28" s="8">
        <v>1</v>
      </c>
      <c r="E28" s="103">
        <f>+VLOOKUP(B28,cennik!$A:$G,3,FALSE)</f>
        <v>12.48587</v>
      </c>
      <c r="F28" s="103">
        <f t="shared" si="0"/>
        <v>12.48587</v>
      </c>
      <c r="G28" s="105">
        <f t="shared" si="1"/>
        <v>12.48587</v>
      </c>
      <c r="H28" s="6" t="str">
        <f>cennik!$B$2</f>
        <v>EUR</v>
      </c>
      <c r="I28" s="483" t="str">
        <f>IFERROR(IF((VLOOKUP(B28,cennik!A:L,12,0))="O",texty!$A$250,""),"")</f>
        <v>Na objednávku</v>
      </c>
      <c r="J28" s="196">
        <f>IF(D28&gt;0,IF(VLOOKUP(B28,cennik!A:L,12,FALSE)="O",1,""),"")</f>
        <v>1</v>
      </c>
      <c r="K28" s="6"/>
    </row>
    <row r="29" spans="1:11" ht="12.75" customHeight="1">
      <c r="A29" s="73" t="str">
        <f>texty!A83</f>
        <v>krycí profil (maska):</v>
      </c>
      <c r="B29" s="8">
        <f>+VLOOKUP($N$8,data!$C$650:$D$654,2,0)</f>
        <v>180415</v>
      </c>
      <c r="C29" s="38" t="str">
        <f>+VLOOKUP(B29,cennik!$A:$G,2,FALSE)</f>
        <v>SEVROLL-MAXIM II MASKA 1,8 M strieborná</v>
      </c>
      <c r="D29" s="8">
        <v>1</v>
      </c>
      <c r="E29" s="103">
        <f>+VLOOKUP(B29,cennik!$A:$G,3,FALSE)</f>
        <v>5.59213</v>
      </c>
      <c r="F29" s="103">
        <f>+E29*D29</f>
        <v>5.59213</v>
      </c>
      <c r="G29" s="105">
        <f>+F29*(100-$G$25)/100</f>
        <v>5.59213</v>
      </c>
      <c r="H29" s="6" t="str">
        <f>cennik!$B$2</f>
        <v>EUR</v>
      </c>
      <c r="I29" s="483" t="str">
        <f>IFERROR(IF((VLOOKUP(B29,cennik!A:L,12,0))="O",texty!$A$250,""),"")</f>
        <v>Na objednávku</v>
      </c>
      <c r="J29" s="196">
        <f>IF(D29&gt;0,IF(VLOOKUP(B29,cennik!A:L,12,FALSE)="O",1,""),"")</f>
        <v>1</v>
      </c>
      <c r="K29" s="6"/>
    </row>
    <row r="30" spans="1:11" ht="12.75" customHeight="1">
      <c r="A30" s="7" t="str">
        <f>System10!A31</f>
        <v>horné vozíky (sady)</v>
      </c>
      <c r="B30" s="190">
        <v>229439</v>
      </c>
      <c r="C30" s="38" t="str">
        <f>+VLOOKUP(B30,cennik!$A:$G,2,FALSE)</f>
        <v>SEVROLL Maxim horný vozík 18mm - 2ks</v>
      </c>
      <c r="D30" s="17">
        <f>IF((D47+D48)&gt;D4,0,D4-(D48+D47))</f>
        <v>3</v>
      </c>
      <c r="E30" s="103">
        <f>+VLOOKUP(B30,cennik!$A:$G,3,FALSE)</f>
        <v>7.8097000000000003</v>
      </c>
      <c r="F30" s="106">
        <f t="shared" si="0"/>
        <v>23.429100000000002</v>
      </c>
      <c r="G30" s="105">
        <f t="shared" si="1"/>
        <v>23.429100000000002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6"/>
    </row>
    <row r="31" spans="1:11" ht="12.75" customHeight="1">
      <c r="A31" s="7" t="str">
        <f>System10!A32</f>
        <v>spodné vozíky (sada)</v>
      </c>
      <c r="B31" s="16">
        <v>328321</v>
      </c>
      <c r="C31" s="38" t="str">
        <f>+VLOOKUP(B31,cennik!$A:$G,2,FALSE)</f>
        <v>SEV-spodní vozík WD10 V 2ks bez pozicionéru</v>
      </c>
      <c r="D31" s="17">
        <f>+D4</f>
        <v>3</v>
      </c>
      <c r="E31" s="103">
        <f>+VLOOKUP(B31,cennik!$A:$G,3,FALSE)</f>
        <v>6.1947299999999998</v>
      </c>
      <c r="F31" s="106">
        <f t="shared" si="0"/>
        <v>18.58419</v>
      </c>
      <c r="G31" s="105">
        <f t="shared" si="1"/>
        <v>18.58419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/>
    </row>
    <row r="32" spans="1:11" ht="12.75" customHeight="1">
      <c r="A32" s="7" t="str">
        <f>System10!A33</f>
        <v>dorazový kartáč</v>
      </c>
      <c r="B32" s="16">
        <v>98067</v>
      </c>
      <c r="C32" s="38" t="str">
        <f>+VLOOKUP(B32,cennik!$A:$G,2,FALSE)</f>
        <v>SEVROLL dorazový kartáč zásuvný 14,5x4mm</v>
      </c>
      <c r="D32" s="17">
        <f>CEILING((B4*D4*2/1000),1)</f>
        <v>0</v>
      </c>
      <c r="E32" s="103">
        <f>+VLOOKUP(B32,cennik!$A:$G,3,FALSE)</f>
        <v>0.17649000000000001</v>
      </c>
      <c r="F32" s="106">
        <f t="shared" si="0"/>
        <v>0</v>
      </c>
      <c r="G32" s="105">
        <f t="shared" si="1"/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</row>
    <row r="33" spans="1:11" ht="12.75" customHeight="1">
      <c r="A33" s="7" t="str">
        <f>System10!A34</f>
        <v>úchytková lišta</v>
      </c>
      <c r="B33" s="16">
        <v>188680</v>
      </c>
      <c r="C33" s="38" t="str">
        <f>+VLOOKUP(B33,cennik!$A:$G,2,FALSE)</f>
        <v>SEVROLL Prosper II úch.lišta 2,7m strieborná</v>
      </c>
      <c r="D33" s="17">
        <f>IF(B10&lt;=1347,D4*2/2,D4*2)</f>
        <v>3</v>
      </c>
      <c r="E33" s="103">
        <f>+VLOOKUP(B33,cennik!$A:$G,3,FALSE)</f>
        <v>24.97174</v>
      </c>
      <c r="F33" s="106">
        <f t="shared" si="0"/>
        <v>74.915220000000005</v>
      </c>
      <c r="G33" s="105">
        <f t="shared" si="1"/>
        <v>74.915220000000005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</row>
    <row r="34" spans="1:11" ht="12.75" customHeight="1">
      <c r="A34" s="7" t="str">
        <f>System10!A36</f>
        <v>horný profil rámu (vodiaca lišta)</v>
      </c>
      <c r="B34" s="8">
        <f>+VLOOKUP(N8,data!$C$645:$D$650,2,0)</f>
        <v>102820</v>
      </c>
      <c r="C34" s="38" t="str">
        <f>+VLOOKUP(B34,cennik!$A:$G,2,FALSE)</f>
        <v>SEVROLL-MAXIM VOD.LIŠTA 1,8 M STRIEBORNA</v>
      </c>
      <c r="D34" s="17">
        <v>1</v>
      </c>
      <c r="E34" s="103">
        <f>+VLOOKUP(B34,cennik!$A:$G,3,FALSE)</f>
        <v>16.197890000000001</v>
      </c>
      <c r="F34" s="106">
        <f>+E34*D34</f>
        <v>16.197890000000001</v>
      </c>
      <c r="G34" s="105">
        <f>+F34*(100-$G$25)/100</f>
        <v>16.197890000000001</v>
      </c>
      <c r="H34" s="6" t="str">
        <f>cennik!$B$2</f>
        <v>EUR</v>
      </c>
      <c r="I34" s="483" t="str">
        <f>IFERROR(IF((VLOOKUP(B34,cennik!A:L,12,0))="O",texty!$A$250,""),"")</f>
        <v>Na objednávku</v>
      </c>
      <c r="J34" s="196">
        <f>IF(D34&gt;0,IF(VLOOKUP(B34,cennik!A:L,12,FALSE)="O",1,""),"")</f>
        <v>1</v>
      </c>
      <c r="K34" s="6"/>
    </row>
    <row r="35" spans="1:11" ht="12.75" customHeight="1">
      <c r="A35" s="7" t="str">
        <f>System10!A38</f>
        <v>horizontálny spodný profil rámu</v>
      </c>
      <c r="B35" s="8">
        <f>+VLOOKUP(N8,data!$C$655:$D$659,2,0)</f>
        <v>102827</v>
      </c>
      <c r="C35" s="38" t="str">
        <f>+VLOOKUP(B35,cennik!$A:$G,2,FALSE)</f>
        <v>SEVROLL Maxim spod.krycia lišta 1,8m strieborná</v>
      </c>
      <c r="D35" s="17">
        <v>1</v>
      </c>
      <c r="E35" s="103">
        <f>+VLOOKUP(B35,cennik!$A:$G,3,FALSE)</f>
        <v>23.453189999999999</v>
      </c>
      <c r="F35" s="106">
        <f>+E35*D35</f>
        <v>23.453189999999999</v>
      </c>
      <c r="G35" s="105">
        <f>+F35*(100-$G$25)/100</f>
        <v>23.453189999999999</v>
      </c>
      <c r="H35" s="6" t="str">
        <f>cennik!$B$2</f>
        <v>EUR</v>
      </c>
      <c r="I35" s="483" t="str">
        <f>IFERROR(IF((VLOOKUP(B35,cennik!A:L,12,0))="O",texty!$A$250,""),"")</f>
        <v>Na objednávku</v>
      </c>
      <c r="J35" s="196">
        <f>IF(D35&gt;0,IF(VLOOKUP(B35,cennik!A:L,12,FALSE)="O",1,""),"")</f>
        <v>1</v>
      </c>
      <c r="K35" s="6"/>
    </row>
    <row r="36" spans="1:11" ht="12.75" customHeight="1">
      <c r="A36" s="7" t="s">
        <v>14</v>
      </c>
      <c r="B36" s="16">
        <v>89244</v>
      </c>
      <c r="C36" s="38" t="str">
        <f>+VLOOKUP(B36,cennik!$A:$G,2,FALSE)</f>
        <v>SEVROLL šroubovrut 6,3*32 -Sevroll a Simple</v>
      </c>
      <c r="D36" s="17">
        <f>+D4*4</f>
        <v>12</v>
      </c>
      <c r="E36" s="103">
        <f>+VLOOKUP(B36,cennik!$A:$G,3,FALSE)</f>
        <v>0.14462</v>
      </c>
      <c r="F36" s="92">
        <f>+E36*D36</f>
        <v>1.7354400000000001</v>
      </c>
      <c r="G36" s="93">
        <f>+F36*(100-$G$25)/100</f>
        <v>1.7354400000000001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6"/>
    </row>
    <row r="37" spans="1:11" ht="12.75" customHeight="1">
      <c r="A37" s="7"/>
      <c r="B37" s="16"/>
      <c r="C37" s="25"/>
      <c r="D37" s="17"/>
      <c r="E37" s="106"/>
      <c r="F37" s="106"/>
      <c r="G37" s="105"/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6"/>
    </row>
    <row r="38" spans="1:11" ht="12.75" customHeight="1">
      <c r="A38" s="14" t="str">
        <f>texty!$A$66</f>
        <v>Voliteľné príslušenstvo:</v>
      </c>
      <c r="B38" s="16"/>
      <c r="C38" s="25"/>
      <c r="D38" s="26" t="str">
        <f>+System10!D41</f>
        <v>zadajte počet:</v>
      </c>
      <c r="E38" s="106"/>
      <c r="F38" s="106"/>
      <c r="G38" s="105"/>
      <c r="I38" s="483" t="str">
        <f>IFERROR(IF((VLOOKUP(B38,cennik!A:L,12,0))="O",texty!$A$250,""),"")</f>
        <v/>
      </c>
      <c r="J38" s="196"/>
      <c r="K38" s="6"/>
    </row>
    <row r="39" spans="1:11" ht="12.75" customHeight="1">
      <c r="A39" s="7" t="str">
        <f>texty!$A$88</f>
        <v>pozicionér do horného vedenia</v>
      </c>
      <c r="B39" s="16">
        <v>298035</v>
      </c>
      <c r="C39" s="38" t="str">
        <f>+VLOOKUP(B39,cennik!$A:$G,2,FALSE)</f>
        <v>SEVROLL Fix pozicionér pre horný vozík tran.</v>
      </c>
      <c r="D39" s="29"/>
      <c r="E39" s="103">
        <f>+VLOOKUP(B39,cennik!$A:$G,3,FALSE)</f>
        <v>1.0605800000000001</v>
      </c>
      <c r="F39" s="106">
        <f t="shared" ref="F39:F46" si="2">+E39*D39</f>
        <v>0</v>
      </c>
      <c r="G39" s="105">
        <f>+F39*(100-$G$25)/100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6"/>
    </row>
    <row r="40" spans="1:11" ht="12.75" customHeight="1">
      <c r="A40" s="7" t="str">
        <f>System10!A43</f>
        <v xml:space="preserve">pozicionér </v>
      </c>
      <c r="B40" s="16">
        <v>89063</v>
      </c>
      <c r="C40" s="38" t="str">
        <f>+VLOOKUP(B40,cennik!$A:$G,2,FALSE)</f>
        <v>SEV - pozicionér HI-TEC</v>
      </c>
      <c r="D40" s="29"/>
      <c r="E40" s="103">
        <f>+VLOOKUP(B40,cennik!$A:$G,3,FALSE)</f>
        <v>0.31335000000000002</v>
      </c>
      <c r="F40" s="106">
        <f t="shared" si="2"/>
        <v>0</v>
      </c>
      <c r="G40" s="105">
        <f>+F40*(100-$G$25)/100</f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6"/>
    </row>
    <row r="41" spans="1:11" ht="12.75" customHeight="1">
      <c r="A41" s="436" t="str">
        <f>texty!$A$228</f>
        <v> Tlmič dorazu MINI do 25 kg (pár)</v>
      </c>
      <c r="B41" s="16">
        <v>318662</v>
      </c>
      <c r="C41" s="25" t="str">
        <f>+VLOOKUP(B41,cennik!$A:$G,2,FALSE)</f>
        <v>SEVROLL tlmič dorazu Mini SV25 - 2ks</v>
      </c>
      <c r="D41" s="29"/>
      <c r="E41" s="92">
        <f>+VLOOKUP(B41,cennik!$A:$G,3,FALSE)</f>
        <v>22.368510000000001</v>
      </c>
      <c r="F41" s="106">
        <f t="shared" si="2"/>
        <v>0</v>
      </c>
      <c r="G41" s="105">
        <f t="shared" ref="G41:G46" si="3">+F41*(100-$G$25)/100</f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196"/>
    </row>
    <row r="42" spans="1:11" ht="12.75" customHeight="1">
      <c r="A42" s="436" t="str">
        <f>texty!$A$229</f>
        <v> Tlmič dorazu MINI do 40 kg (pár)</v>
      </c>
      <c r="B42" s="24">
        <v>283956</v>
      </c>
      <c r="C42" s="25" t="str">
        <f>+VLOOKUP(B42,cennik!$A:$G,2,FALSE)</f>
        <v>SEVROLL tlmič dorazu Mini SV40 - 2ks</v>
      </c>
      <c r="D42" s="29"/>
      <c r="E42" s="92">
        <f>+VLOOKUP(B42,cennik!$A:$G,3,FALSE)</f>
        <v>22.368510000000001</v>
      </c>
      <c r="F42" s="106">
        <f t="shared" si="2"/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196"/>
    </row>
    <row r="43" spans="1:11" ht="12.75" customHeight="1">
      <c r="A43" s="436" t="str">
        <f>texty!$A$230</f>
        <v> Tlmič dorazu MINI do 60 kg (pár)</v>
      </c>
      <c r="B43" s="24">
        <v>351743</v>
      </c>
      <c r="C43" s="25" t="str">
        <f>+VLOOKUP(B43,cennik!$A:$G,2,FALSE)</f>
        <v/>
      </c>
      <c r="D43" s="29"/>
      <c r="E43" s="92">
        <f>+VLOOKUP(B43,cennik!$A:$G,3,FALSE)</f>
        <v>22.368510000000001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196"/>
    </row>
    <row r="44" spans="1:11" ht="12.75" customHeight="1">
      <c r="A44" s="436" t="str">
        <f>texty!$A$231</f>
        <v> Tlmič pre stredné krídlo do 25 kg</v>
      </c>
      <c r="B44" s="24">
        <v>318663</v>
      </c>
      <c r="C44" s="25" t="str">
        <f>+VLOOKUP(B44,cennik!$A:$G,2,FALSE)</f>
        <v>SEVROLL tlmič Central 10/18mm obojst. 25 kg</v>
      </c>
      <c r="D44" s="29"/>
      <c r="E44" s="92">
        <f>+VLOOKUP(B44,cennik!$A:$G,3,FALSE)</f>
        <v>47.918750000000003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196"/>
    </row>
    <row r="45" spans="1:11" ht="12.75" customHeight="1">
      <c r="A45" s="436" t="str">
        <f>texty!$A$232</f>
        <v> Tlmič pre stredné krídlo do 40 kg</v>
      </c>
      <c r="B45" s="24">
        <v>283955</v>
      </c>
      <c r="C45" s="25" t="str">
        <f>+VLOOKUP(B45,cennik!$A:$G,2,FALSE)</f>
        <v>SEVROLL tlmič Central 10/18mm obojst.25-40kg</v>
      </c>
      <c r="D45" s="29"/>
      <c r="E45" s="92">
        <f>+VLOOKUP(B45,cennik!$A:$G,3,FALSE)</f>
        <v>47.918750000000003</v>
      </c>
      <c r="F45" s="106">
        <f t="shared" si="2"/>
        <v>0</v>
      </c>
      <c r="G45" s="105">
        <f t="shared" si="3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196"/>
    </row>
    <row r="46" spans="1:11" ht="12.75" customHeight="1">
      <c r="A46" s="7" t="str">
        <f>System10!A45</f>
        <v> Tlmič dorazu MINI do 40 kg (pár)</v>
      </c>
      <c r="B46" s="24">
        <v>227185</v>
      </c>
      <c r="C46" s="25" t="str">
        <f>+VLOOKUP(B46,cennik!$A:$G,2,FALSE)</f>
        <v>K-SEVROLL tlmič dorazu 10/18mm 14-25kg(L+P)</v>
      </c>
      <c r="D46" s="29"/>
      <c r="E46" s="92">
        <f>+VLOOKUP(B46,cennik!$A:$G,3,FALSE)</f>
        <v>0</v>
      </c>
      <c r="F46" s="106">
        <f t="shared" si="2"/>
        <v>0</v>
      </c>
      <c r="G46" s="105">
        <f t="shared" si="3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196"/>
    </row>
    <row r="47" spans="1:11" ht="12.75" customHeight="1">
      <c r="A47" s="7" t="str">
        <f>System10!A49</f>
        <v>tlmič dorazu (pár) 25 kg</v>
      </c>
      <c r="B47" s="24">
        <v>227185</v>
      </c>
      <c r="C47" s="38" t="str">
        <f>+VLOOKUP(B47,cennik!$A:$G,2,FALSE)</f>
        <v>K-SEVROLL tlmič dorazu 10/18mm 14-25kg(L+P)</v>
      </c>
      <c r="D47" s="29"/>
      <c r="E47" s="103">
        <f>+VLOOKUP(B47,cennik!$A:$G,3,FALSE)</f>
        <v>0</v>
      </c>
      <c r="F47" s="106">
        <f>+E47*D47</f>
        <v>0</v>
      </c>
      <c r="G47" s="105">
        <f t="shared" ref="G47:G53" si="4">+F47*(100-$G$25)/100</f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6"/>
    </row>
    <row r="48" spans="1:11" ht="12.75" customHeight="1">
      <c r="A48" s="7" t="str">
        <f>texty!$A$98</f>
        <v>tlmič dorazu (pár) 50 kg</v>
      </c>
      <c r="B48" s="24">
        <v>227187</v>
      </c>
      <c r="C48" s="25" t="str">
        <f>+VLOOKUP(B48,cennik!$A:$G,2,FALSE)</f>
        <v>K-SEVROLL tlmič dorazu 10/18mm 25-50kg(L+P)</v>
      </c>
      <c r="D48" s="29"/>
      <c r="E48" s="92">
        <f>+VLOOKUP(B48,cennik!$A:$G,3,FALSE)</f>
        <v>0</v>
      </c>
      <c r="F48" s="106">
        <f t="shared" ref="F48:F53" si="5">+E48*D48</f>
        <v>0</v>
      </c>
      <c r="G48" s="105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</row>
    <row r="49" spans="1:11" ht="12.75" customHeight="1">
      <c r="A49" s="7" t="str">
        <f>texty!A169</f>
        <v>spojovací profil H18 MAXIM 1,8m</v>
      </c>
      <c r="B49" s="191">
        <v>102833</v>
      </c>
      <c r="C49" s="38" t="str">
        <f>+VLOOKUP(B49,cennik!$A:$G,2,FALSE)</f>
        <v>SEVROLL-SPOJ.LIŠTA H18 MAXIM 1,8M STR</v>
      </c>
      <c r="D49" s="29"/>
      <c r="E49" s="103">
        <f>+VLOOKUP(B49,cennik!$A:$G,3,FALSE)</f>
        <v>8.0266300000000008</v>
      </c>
      <c r="F49" s="106">
        <f t="shared" si="5"/>
        <v>0</v>
      </c>
      <c r="G49" s="105">
        <f t="shared" si="4"/>
        <v>0</v>
      </c>
      <c r="H49" s="6" t="str">
        <f>cennik!$B$2</f>
        <v>EUR</v>
      </c>
      <c r="I49" s="483" t="str">
        <f>IFERROR(IF((VLOOKUP(B49,cennik!A:L,12,0))="O",texty!$A$250,""),"")</f>
        <v>Na objednávku</v>
      </c>
      <c r="J49" s="196" t="str">
        <f>IF(D49&gt;0,IF(VLOOKUP(B49,cennik!A:L,12,FALSE)="O",1,""),"")</f>
        <v/>
      </c>
      <c r="K49" s="3"/>
    </row>
    <row r="50" spans="1:11" ht="12.75" customHeight="1">
      <c r="A50" s="7" t="str">
        <f>texty!A170</f>
        <v>spojovací profil H18 MAXIM 2,5m</v>
      </c>
      <c r="B50" s="191">
        <v>102834</v>
      </c>
      <c r="C50" s="38" t="str">
        <f>+VLOOKUP(B50,cennik!$A:$G,2,FALSE)</f>
        <v>SEVROLL-SPOJ.LIŠTA H18 2,5M str.</v>
      </c>
      <c r="D50" s="29"/>
      <c r="E50" s="103">
        <f>+VLOOKUP(B50,cennik!$A:$G,3,FALSE)</f>
        <v>11.111940000000001</v>
      </c>
      <c r="F50" s="106">
        <f t="shared" si="5"/>
        <v>0</v>
      </c>
      <c r="G50" s="105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3"/>
    </row>
    <row r="51" spans="1:11" ht="12.75" customHeight="1">
      <c r="A51" s="7" t="str">
        <f>texty!A171</f>
        <v>spojovací profil H25 MAXIM 1,8m</v>
      </c>
      <c r="B51" s="191">
        <v>98055</v>
      </c>
      <c r="C51" s="38" t="str">
        <f>+VLOOKUP(B51,cennik!$A:$G,2,FALSE)</f>
        <v>SEVROLL Maxim spojovacia lišta H25 1,8m str.</v>
      </c>
      <c r="D51" s="29"/>
      <c r="E51" s="103">
        <f>+VLOOKUP(B51,cennik!$A:$G,3,FALSE)</f>
        <v>14.67934</v>
      </c>
      <c r="F51" s="106">
        <f t="shared" si="5"/>
        <v>0</v>
      </c>
      <c r="G51" s="105">
        <f t="shared" si="4"/>
        <v>0</v>
      </c>
      <c r="H51" s="6" t="str">
        <f>cennik!$B$2</f>
        <v>EUR</v>
      </c>
      <c r="I51" s="483" t="str">
        <f>IFERROR(IF((VLOOKUP(B51,cennik!A:L,12,0))="O",texty!$A$250,""),"")</f>
        <v>Na objednávku</v>
      </c>
      <c r="J51" s="196" t="str">
        <f>IF(D51&gt;0,IF(VLOOKUP(B51,cennik!A:L,12,FALSE)="O",1,""),"")</f>
        <v/>
      </c>
      <c r="K51" s="3"/>
    </row>
    <row r="52" spans="1:11" ht="12.75" customHeight="1">
      <c r="A52" s="7" t="str">
        <f>texty!A172</f>
        <v>spojovací profil H25 MAXIM 2,5m</v>
      </c>
      <c r="B52" s="191">
        <v>102832</v>
      </c>
      <c r="C52" s="38" t="str">
        <f>+VLOOKUP(B52,cennik!$A:$G,2,FALSE)</f>
        <v>SEVROLL-SPOJ.LIŠTA H25 2,5M str.</v>
      </c>
      <c r="D52" s="29"/>
      <c r="E52" s="103">
        <f>+VLOOKUP(B52,cennik!$A:$G,3,FALSE)</f>
        <v>20.464300000000001</v>
      </c>
      <c r="F52" s="106">
        <f t="shared" si="5"/>
        <v>0</v>
      </c>
      <c r="G52" s="105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3"/>
    </row>
    <row r="53" spans="1:11" ht="12.75" customHeight="1">
      <c r="A53" s="7" t="str">
        <f>texty!$A$92</f>
        <v>spojovacia skrutka</v>
      </c>
      <c r="B53" s="192">
        <v>89244</v>
      </c>
      <c r="C53" s="25" t="str">
        <f>+VLOOKUP(B53,cennik!$A:$G,2,FALSE)</f>
        <v>SEVROLL šroubovrut 6,3*32 -Sevroll a Simple</v>
      </c>
      <c r="D53" s="30"/>
      <c r="E53" s="92">
        <f>+VLOOKUP(B53,cennik!$A:$G,3,FALSE)</f>
        <v>0.14462</v>
      </c>
      <c r="F53" s="106">
        <f t="shared" si="5"/>
        <v>0</v>
      </c>
      <c r="G53" s="105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3"/>
    </row>
    <row r="54" spans="1:11" ht="12.75" customHeight="1">
      <c r="A54" s="41" t="str">
        <f>CONCATENATE(texty!$A$6,ROUND((C12/1000),1),texty!$A$8)</f>
        <v>Pokiaľ budete používať ako výplň sklo / zrkadlo, je nutné doobjednať tesnenie. Dĺžka tesnenia na jedno krídlo je -0,2m, pokiaľ je preskenných viac krídel, treba vynásobiť</v>
      </c>
      <c r="B54" s="42"/>
      <c r="C54" s="43"/>
      <c r="D54" s="44"/>
      <c r="E54" s="98"/>
      <c r="F54" s="98"/>
      <c r="G54" s="99"/>
      <c r="I54" s="483" t="str">
        <f>IFERROR(IF((VLOOKUP(B54,cennik!A:L,12,0))="O",texty!$A$250,""),"")</f>
        <v/>
      </c>
      <c r="J54" s="186"/>
      <c r="K54" s="6"/>
    </row>
    <row r="55" spans="1:11" ht="12.75" customHeight="1">
      <c r="C55" s="40" t="str">
        <f>texty!$A$10</f>
        <v>Potrebná dĺžka tesnenia pri celkovom presklení (nutné objednať celé metre)</v>
      </c>
      <c r="D55" s="39">
        <f>CEILING(((C12*D4)/1000),1)</f>
        <v>0</v>
      </c>
      <c r="E55" s="95"/>
      <c r="F55" s="95"/>
      <c r="G55" s="95"/>
      <c r="I55" s="483" t="str">
        <f>IFERROR(IF((VLOOKUP(B55,cennik!A:L,12,0))="O",texty!$A$250,""),"")</f>
        <v/>
      </c>
      <c r="J55" s="186"/>
      <c r="K55" s="6"/>
    </row>
    <row r="56" spans="1:11" ht="12.75" customHeight="1">
      <c r="A56" s="48" t="str">
        <f>texty!$A$12</f>
        <v>(pri kombináciach s H profilmi je nutné pripočítať potrebnú dĺžku - tesnenie musí byť po celom odvode každého skla</v>
      </c>
      <c r="B56" s="46"/>
      <c r="C56" s="47"/>
      <c r="D56" s="46"/>
      <c r="E56" s="100"/>
      <c r="F56" s="100"/>
      <c r="G56" s="100"/>
      <c r="I56" s="483" t="str">
        <f>IFERROR(IF((VLOOKUP(B56,cennik!A:L,12,0))="O",texty!$A$250,""),"")</f>
        <v/>
      </c>
      <c r="J56" s="186"/>
      <c r="K56" s="6"/>
    </row>
    <row r="57" spans="1:11" ht="12.75" customHeight="1">
      <c r="A57" s="7" t="str">
        <f>texty!A105</f>
        <v>tesnenie na sklo 4mm asymetrické</v>
      </c>
      <c r="B57" s="17" t="s">
        <v>83</v>
      </c>
      <c r="C57" s="38" t="str">
        <f>+VLOOKUP(B57,cennik!$A:$G,2,FALSE)</f>
        <v>SEVROLL tesnenie na sklo 18/4-4,5mm asymetr.</v>
      </c>
      <c r="D57" s="45"/>
      <c r="E57" s="103">
        <f>+VLOOKUP(B57,cennik!$A:$G,3,FALSE)</f>
        <v>2.37086</v>
      </c>
      <c r="F57" s="97">
        <f>+CEILING(D57,1)*E57</f>
        <v>0</v>
      </c>
      <c r="G57" s="105">
        <f>+F57*(100-$G$25)/100</f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6"/>
    </row>
    <row r="58" spans="1:11" ht="12.75" customHeight="1">
      <c r="B58" s="17">
        <v>256425</v>
      </c>
      <c r="C58" s="172" t="str">
        <f>VLOOKUP(B58,cennik!A:C,2,0)</f>
        <v>SEVROLL montážny prípravok pre systém Maxim malý</v>
      </c>
      <c r="D58" s="45"/>
      <c r="E58" s="92">
        <f>+VLOOKUP(B58,cennik!$A:$G,3,FALSE)</f>
        <v>5.8819900000000001</v>
      </c>
      <c r="F58" s="97">
        <f>+CEILING(D58,1)*E58</f>
        <v>0</v>
      </c>
      <c r="G58" s="93">
        <f>F58</f>
        <v>0</v>
      </c>
      <c r="H58" s="6" t="str">
        <f>cennik!$B$2</f>
        <v>EUR</v>
      </c>
      <c r="I58" s="483" t="str">
        <f>IFERROR(IF((VLOOKUP(B58,cennik!A:L,12,0))="O",texty!$A$250,""),"")</f>
        <v/>
      </c>
      <c r="J58" s="196" t="str">
        <f>IF(D58&gt;0,IF(VLOOKUP(B58,cennik!A:L,12,FALSE)="O",1,""),"")</f>
        <v/>
      </c>
      <c r="K58" s="6"/>
    </row>
    <row r="59" spans="1:11" ht="12.75" customHeight="1">
      <c r="B59" s="17">
        <v>128842</v>
      </c>
      <c r="C59" s="172" t="str">
        <f>VLOOKUP(B59,cennik!A:C,2,0)</f>
        <v>SEVROLL-VRTÁK STUPŇOVITÝ 6,5/9,5mm</v>
      </c>
      <c r="D59" s="45"/>
      <c r="E59" s="92">
        <f>+VLOOKUP(B59,cennik!$A:$G,3,FALSE)</f>
        <v>23.986910000000002</v>
      </c>
      <c r="F59" s="97">
        <f>+CEILING(D59,1)*E59</f>
        <v>0</v>
      </c>
      <c r="G59" s="93">
        <f>F59</f>
        <v>0</v>
      </c>
      <c r="H59" s="6" t="str">
        <f>cennik!$B$2</f>
        <v>EUR</v>
      </c>
      <c r="I59" s="483" t="str">
        <f>IFERROR(IF((VLOOKUP(B59,cennik!A:L,12,0))="O",texty!$A$250,""),"")</f>
        <v/>
      </c>
      <c r="J59" s="196" t="str">
        <f>IF(D59&gt;0,IF(VLOOKUP(B59,cennik!A:L,12,FALSE)="O",1,""),"")</f>
        <v/>
      </c>
      <c r="K59" s="6"/>
    </row>
    <row r="60" spans="1:11" ht="12.75" customHeight="1">
      <c r="A60" s="7"/>
      <c r="B60" s="17"/>
      <c r="C60" s="38"/>
      <c r="D60" s="38"/>
      <c r="E60" s="103"/>
      <c r="F60" s="97"/>
      <c r="G60" s="93"/>
      <c r="I60" s="483" t="str">
        <f>IFERROR(IF((VLOOKUP(B60,cennik!A:L,12,0))="O",texty!$A$250,""),"")</f>
        <v/>
      </c>
      <c r="J60" s="196" t="str">
        <f>IF(D60&gt;0,IF(VLOOKUP(B60,cennik!A:L,12,FALSE)="O",1,""),"")</f>
        <v/>
      </c>
      <c r="K60" s="6"/>
    </row>
    <row r="61" spans="1:11" ht="12.75" customHeight="1">
      <c r="A61" s="147" t="str">
        <f>texty!A197</f>
        <v>Možnosť dodania kompletných sád profilov + kovania:</v>
      </c>
      <c r="B61" s="17"/>
      <c r="C61" s="38"/>
      <c r="D61" s="38"/>
      <c r="E61" s="103"/>
      <c r="F61" s="97"/>
      <c r="G61" s="93"/>
      <c r="I61" s="483" t="str">
        <f>IFERROR(IF((VLOOKUP(B61,cennik!A:L,12,0))="O",texty!$A$250,""),"")</f>
        <v/>
      </c>
      <c r="J61" s="196" t="str">
        <f>IF(D61&gt;0,IF(VLOOKUP(B61,cennik!A:L,12,FALSE)="O",1,""),"")</f>
        <v/>
      </c>
      <c r="K61" s="6"/>
    </row>
    <row r="62" spans="1:11" ht="12.75" customHeight="1">
      <c r="A62" s="7" t="str">
        <f>texty!A198</f>
        <v>sada 2 krídla, šírka 1,8m (profily 182716 + kovanie 98054)</v>
      </c>
      <c r="B62" s="17"/>
      <c r="C62" s="38"/>
      <c r="D62" s="38"/>
      <c r="E62" s="103"/>
      <c r="F62" s="97"/>
      <c r="G62" s="93"/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6"/>
    </row>
    <row r="63" spans="1:11" ht="12.75" customHeight="1">
      <c r="A63" s="7"/>
      <c r="B63" s="17">
        <v>182716</v>
      </c>
      <c r="C63" s="38" t="str">
        <f>+VLOOKUP(B63,cennik!$A:$G,2,FALSE)</f>
        <v>SEVROLL Maxim sada líšt pre 2 dv.1,8m str.</v>
      </c>
      <c r="D63" s="29"/>
      <c r="E63" s="103" t="e">
        <f>+VLOOKUP(B63,cennik!$A:$G,3,FALSE)</f>
        <v>#N/A</v>
      </c>
      <c r="F63" s="106" t="e">
        <f>+CEILING(D63,1)*E63</f>
        <v>#N/A</v>
      </c>
      <c r="G63" s="105" t="e">
        <f>+F63*(100-$G$25)/100</f>
        <v>#N/A</v>
      </c>
      <c r="H63" s="6" t="str">
        <f>cennik!$B$2</f>
        <v>EUR</v>
      </c>
      <c r="I63" s="483" t="str">
        <f>IFERROR(IF((VLOOKUP(B63,cennik!A:L,12,0))="O",texty!$A$250,""),"")</f>
        <v/>
      </c>
      <c r="J63" s="196" t="str">
        <f>IF(D63&gt;0,IF(VLOOKUP(B63,cennik!A:L,12,FALSE)="O",1,""),"")</f>
        <v/>
      </c>
      <c r="K63" s="6"/>
    </row>
    <row r="64" spans="1:11" ht="12.75" customHeight="1">
      <c r="A64" s="7"/>
      <c r="B64" s="17">
        <v>98054</v>
      </c>
      <c r="C64" s="38" t="str">
        <f>+VLOOKUP(B64,cennik!$A:$G,2,FALSE)</f>
        <v>SEVROLL Maxim sada kov. Pr 2.dv. 1,8m str.</v>
      </c>
      <c r="D64" s="29"/>
      <c r="E64" s="103">
        <f>+VLOOKUP(B64,cennik!$A:$G,3,FALSE)</f>
        <v>27.470300000000002</v>
      </c>
      <c r="F64" s="106">
        <f>+CEILING(D64,1)*E64</f>
        <v>0</v>
      </c>
      <c r="G64" s="105">
        <f>+F64*(100-$G$25)/100</f>
        <v>0</v>
      </c>
      <c r="H64" s="6" t="str">
        <f>cennik!$B$2</f>
        <v>EUR</v>
      </c>
      <c r="I64" s="483" t="str">
        <f>IFERROR(IF((VLOOKUP(B64,cennik!A:L,12,0))="O",texty!$A$250,""),"")</f>
        <v/>
      </c>
      <c r="J64" s="196" t="str">
        <f>IF(D64&gt;0,IF(VLOOKUP(B64,cennik!A:L,12,FALSE)="O",1,""),"")</f>
        <v/>
      </c>
      <c r="K64" s="6"/>
    </row>
    <row r="65" spans="1:13" ht="12.75" customHeight="1">
      <c r="A65" s="7" t="str">
        <f>texty!A199</f>
        <v>sada 3 krídla, šírka 2,5m (profily 188479 + kovanie 100968)</v>
      </c>
      <c r="B65" s="17"/>
      <c r="C65" s="38"/>
      <c r="D65" s="38"/>
      <c r="E65" s="103"/>
      <c r="F65" s="97"/>
      <c r="G65" s="93"/>
      <c r="I65" s="483" t="str">
        <f>IFERROR(IF((VLOOKUP(B65,cennik!A:L,12,0))="O",texty!$A$250,""),"")</f>
        <v/>
      </c>
      <c r="J65" s="196" t="str">
        <f>IF(D65&gt;0,IF(VLOOKUP(B65,cennik!A:L,12,FALSE)="O",1,""),"")</f>
        <v/>
      </c>
      <c r="K65" s="6"/>
    </row>
    <row r="66" spans="1:13" ht="12.75" customHeight="1">
      <c r="A66" s="7"/>
      <c r="B66" s="17">
        <v>100967</v>
      </c>
      <c r="C66" s="38" t="str">
        <f>+VLOOKUP(B66,cennik!$A:$G,2,FALSE)</f>
        <v>SEVROLL Maxim sada líšt pre 3 dv. 2,5m str.</v>
      </c>
      <c r="D66" s="29"/>
      <c r="E66" s="103" t="e">
        <f>+VLOOKUP(B66,cennik!$A:$G,3,FALSE)</f>
        <v>#N/A</v>
      </c>
      <c r="F66" s="106" t="e">
        <f>+CEILING(D66,1)*E66</f>
        <v>#N/A</v>
      </c>
      <c r="G66" s="105" t="e">
        <f>+F66*(100-$G$25)/100</f>
        <v>#N/A</v>
      </c>
      <c r="H66" s="6" t="str">
        <f>cennik!$B$2</f>
        <v>EUR</v>
      </c>
      <c r="I66" s="483" t="str">
        <f>IFERROR(IF((VLOOKUP(B66,cennik!A:L,12,0))="O",texty!$A$250,""),"")</f>
        <v/>
      </c>
      <c r="J66" s="196" t="str">
        <f>IF(D66&gt;0,IF(VLOOKUP(B66,cennik!A:L,12,FALSE)="O",1,""),"")</f>
        <v/>
      </c>
      <c r="K66" s="6"/>
    </row>
    <row r="67" spans="1:13" ht="12.75" customHeight="1">
      <c r="B67" s="6">
        <v>100968</v>
      </c>
      <c r="C67" s="38" t="str">
        <f>+VLOOKUP(B67,cennik!$A:$G,2,FALSE)</f>
        <v>SEVROLL Maxim sada kov. pre 3 dv. 2,5m strč</v>
      </c>
      <c r="D67" s="29"/>
      <c r="E67" s="103">
        <f>+VLOOKUP(B67,cennik!$A:$G,3,FALSE)</f>
        <v>49.119030000000002</v>
      </c>
      <c r="F67" s="106">
        <f>+CEILING(D67,1)*E67</f>
        <v>0</v>
      </c>
      <c r="G67" s="105">
        <f>+F67*(100-$G$25)/100</f>
        <v>0</v>
      </c>
      <c r="H67" s="6" t="str">
        <f>cennik!$B$2</f>
        <v>EUR</v>
      </c>
      <c r="I67" s="483" t="str">
        <f>IFERROR(IF((VLOOKUP(B67,cennik!A:L,12,0))="O",texty!$A$250,""),"")</f>
        <v/>
      </c>
      <c r="J67" s="196" t="str">
        <f>IF(D67&gt;0,IF(VLOOKUP(B67,cennik!A:L,12,FALSE)="O",1,""),"")</f>
        <v/>
      </c>
      <c r="K67" s="6"/>
    </row>
    <row r="68" spans="1:13" ht="16">
      <c r="A68" s="285" t="str">
        <f>texty!$A$190</f>
        <v>Ďalšie príslušenstvo</v>
      </c>
      <c r="B68" s="286"/>
      <c r="C68" s="286"/>
      <c r="D68" s="286"/>
      <c r="E68" s="286"/>
      <c r="F68" s="286"/>
      <c r="G68" s="286"/>
      <c r="H68" s="286"/>
      <c r="I68" s="286"/>
      <c r="J68" s="135"/>
      <c r="K68" s="6"/>
    </row>
    <row r="69" spans="1:13" ht="12.75" customHeight="1">
      <c r="C69" s="74"/>
      <c r="D69" s="77" t="str">
        <f>texty!$A$15</f>
        <v>CELKOM  (bez DPH)</v>
      </c>
      <c r="E69" s="107"/>
      <c r="F69" s="108" t="e">
        <f>SUM(F27:F67)</f>
        <v>#N/A</v>
      </c>
      <c r="G69" s="108" t="e">
        <f>SUM(G27:G67)</f>
        <v>#N/A</v>
      </c>
      <c r="H69" s="6" t="str">
        <f>cennik!$B$2</f>
        <v>EUR</v>
      </c>
      <c r="I69" s="186"/>
      <c r="J69" s="186"/>
      <c r="K69" s="6"/>
    </row>
    <row r="70" spans="1:13" ht="12.75" customHeight="1">
      <c r="A70" s="76" t="str">
        <f>System10!$A$67</f>
        <v>Vaša poznámka:</v>
      </c>
      <c r="B70" s="667"/>
      <c r="C70" s="666"/>
      <c r="D70" s="666"/>
      <c r="E70" s="666"/>
      <c r="F70" s="666"/>
      <c r="G70" s="666"/>
      <c r="K70" s="6"/>
    </row>
    <row r="71" spans="1:13" ht="12.75" customHeight="1">
      <c r="A71" s="668">
        <f>profil!$U$15</f>
        <v>0</v>
      </c>
      <c r="B71" s="658"/>
      <c r="C71" s="658"/>
      <c r="D71" s="658"/>
      <c r="E71" s="658"/>
      <c r="F71" s="658"/>
      <c r="G71" s="658"/>
      <c r="K71" s="6"/>
    </row>
    <row r="72" spans="1:13" ht="12.75" customHeight="1">
      <c r="A72" s="659" t="str">
        <f>IF(M72=1,texty!$A$215,IF(J72&gt;0,texty!$A$214,""))</f>
        <v>některé položky sú na objednávku, počítajte prosím s dodaciou  lehotou  do 5 týždnov</v>
      </c>
      <c r="B72" s="659"/>
      <c r="C72" s="659"/>
      <c r="D72" s="659"/>
      <c r="E72" s="659"/>
      <c r="F72" s="659"/>
      <c r="G72" s="659"/>
      <c r="J72" s="6">
        <f>SUM(J27:J67)</f>
        <v>5</v>
      </c>
      <c r="M72" s="5">
        <f>IF(ISERROR(J72),1,0)</f>
        <v>0</v>
      </c>
    </row>
    <row r="73" spans="1:13" ht="12.75" customHeight="1"/>
    <row r="74" spans="1:13" ht="12.75" customHeight="1">
      <c r="K74" s="5" t="str">
        <f>texty!A128</f>
        <v xml:space="preserve">strieborná </v>
      </c>
    </row>
    <row r="75" spans="1:13" ht="12.75" customHeight="1"/>
    <row r="76" spans="1:13" ht="12.75" customHeight="1"/>
    <row r="77" spans="1:13" ht="12.75" customHeight="1"/>
    <row r="78" spans="1:13" ht="12.75" customHeight="1"/>
    <row r="79" spans="1:13" ht="12.75" customHeight="1"/>
    <row r="80" spans="1:13" ht="12.75" customHeight="1"/>
  </sheetData>
  <sheetProtection algorithmName="SHA-512" hashValue="Q3RkzVtqAP/Y54szwEuHI3EOpePcb2EsXpz0jWut7l3VwZx8dnKJLmKV5So8EHcw1Fgo4AWOI/QJMuKA+I9G1A==" saltValue="i+5tlW9rksx+EumZIOha8A==" spinCount="100000" sheet="1" objects="1" scenarios="1"/>
  <mergeCells count="6">
    <mergeCell ref="A72:G72"/>
    <mergeCell ref="B70:G70"/>
    <mergeCell ref="A71:G71"/>
    <mergeCell ref="A5:E5"/>
    <mergeCell ref="F4:I6"/>
    <mergeCell ref="A13:B14"/>
  </mergeCells>
  <conditionalFormatting sqref="D6">
    <cfRule type="expression" dxfId="157" priority="6">
      <formula>$D$4=4</formula>
    </cfRule>
    <cfRule type="expression" dxfId="156" priority="7">
      <formula>$D$4&lt;&gt;4</formula>
    </cfRule>
  </conditionalFormatting>
  <conditionalFormatting sqref="F4:I6">
    <cfRule type="expression" dxfId="155" priority="5">
      <formula>$D$4=4</formula>
    </cfRule>
  </conditionalFormatting>
  <conditionalFormatting sqref="A13">
    <cfRule type="expression" dxfId="154" priority="4">
      <formula>SUM($D$44:$D$45)&gt;0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300-000000000000}">
      <formula1>0</formula1>
      <formula2>9</formula2>
    </dataValidation>
    <dataValidation type="whole" allowBlank="1" showInputMessage="1" showErrorMessage="1" errorTitle="STOP" error="Max. 6000 mm" promptTitle="Maximální šířka otvoru je 4300mm" sqref="C4" xr:uid="{00000000-0002-0000-1300-000001000000}">
      <formula1>0</formula1>
      <formula2>6000</formula2>
    </dataValidation>
    <dataValidation type="whole" allowBlank="1" showInputMessage="1" showErrorMessage="1" errorTitle="Nelze" error="Maximální výška otvoru je 2738 mm" promptTitle="Maximální výška otvoru je 2738mm" sqref="B4" xr:uid="{00000000-0002-0000-1300-000002000000}">
      <formula1>0</formula1>
      <formula2>2738</formula2>
    </dataValidation>
    <dataValidation type="list" allowBlank="1" showInputMessage="1" showErrorMessage="1" sqref="E6" xr:uid="{00000000-0002-0000-1300-000003000000}">
      <formula1>"stříbrná,zlatá,oliva"</formula1>
      <formula2>0</formula2>
    </dataValidation>
    <dataValidation type="list" allowBlank="1" showInputMessage="1" showErrorMessage="1" sqref="E4" xr:uid="{00000000-0002-0000-1300-000004000000}">
      <formula1>$K$74</formula1>
    </dataValidation>
    <dataValidation type="list" allowBlank="1" showInputMessage="1" showErrorMessage="1" sqref="D6" xr:uid="{00000000-0002-0000-1300-000005000000}">
      <formula1>$K$1:$K$2</formula1>
    </dataValidation>
  </dataValidations>
  <hyperlinks>
    <hyperlink ref="A2" location="profil!A1" display="Prosper  systém Maxim" xr:uid="{00000000-0004-0000-1300-000000000000}"/>
    <hyperlink ref="A68" location="příslušenství!A56" display="příslušenství!A56" xr:uid="{00000000-0004-0000-1300-000001000000}"/>
  </hyperlinks>
  <pageMargins left="0.70866141732283472" right="0.70866141732283472" top="0.25" bottom="0.34" header="0.17" footer="0.22"/>
  <pageSetup paperSize="9" scale="6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3D6FCAE-4D69-4771-9D5D-DC04164B17F9}">
            <xm:f>$I27=texty!$A$250</xm:f>
            <x14:dxf>
              <font>
                <color rgb="FFFF0000"/>
              </font>
            </x14:dxf>
          </x14:cfRule>
          <xm:sqref>I27:I67</xm:sqref>
        </x14:conditionalFormatting>
        <x14:conditionalFormatting xmlns:xm="http://schemas.microsoft.com/office/excel/2006/main">
          <x14:cfRule type="expression" priority="1" id="{4C52FCA2-CCAD-4E2A-AC7C-03BE8C939E26}">
            <xm:f>$I27=texty!$A$250</xm:f>
            <x14:dxf>
              <font>
                <color rgb="FFFF0000"/>
              </font>
            </x14:dxf>
          </x14:cfRule>
          <xm:sqref>A27:H67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L250"/>
  <sheetViews>
    <sheetView workbookViewId="0">
      <pane ySplit="1" topLeftCell="A241" activePane="bottomLeft" state="frozenSplit"/>
      <selection activeCell="I60" sqref="I60"/>
      <selection pane="bottomLeft" activeCell="A250" sqref="A250"/>
    </sheetView>
  </sheetViews>
  <sheetFormatPr baseColWidth="10" defaultColWidth="8.83203125" defaultRowHeight="14"/>
  <cols>
    <col min="1" max="1" width="63.6640625" customWidth="1"/>
    <col min="2" max="2" width="45.1640625" style="141" customWidth="1"/>
    <col min="3" max="3" width="17.5" customWidth="1"/>
    <col min="4" max="4" width="8.83203125" customWidth="1"/>
    <col min="5" max="5" width="127.5" style="148" customWidth="1"/>
  </cols>
  <sheetData>
    <row r="1" spans="1:9" ht="42">
      <c r="A1" s="88" t="s">
        <v>17</v>
      </c>
      <c r="B1" s="391" t="s">
        <v>140</v>
      </c>
      <c r="C1" s="392" t="s">
        <v>141</v>
      </c>
      <c r="D1" s="392" t="s">
        <v>142</v>
      </c>
      <c r="E1" s="151" t="s">
        <v>143</v>
      </c>
      <c r="F1" s="88" t="s">
        <v>144</v>
      </c>
      <c r="G1" s="89">
        <f>cennik!A2</f>
        <v>2</v>
      </c>
      <c r="H1" t="s">
        <v>145</v>
      </c>
      <c r="I1" s="89"/>
    </row>
    <row r="2" spans="1:9" ht="15">
      <c r="A2" t="str">
        <f t="shared" ref="A2:A33" si="0">IF($G$1=1,B2,IF($G$1=2,D2,IF($G$1=3,E2,IF($G$1=4,C2,"zadat jazyk"))))</f>
        <v>druhá lišta nieje potrebná</v>
      </c>
      <c r="B2" s="393" t="s">
        <v>146</v>
      </c>
      <c r="C2" s="394" t="s">
        <v>147</v>
      </c>
      <c r="D2" s="394" t="s">
        <v>148</v>
      </c>
      <c r="E2" s="151" t="s">
        <v>149</v>
      </c>
    </row>
    <row r="3" spans="1:9">
      <c r="A3" t="str">
        <f t="shared" si="0"/>
        <v>táto položka je na objednávku, počítajte prosím s dodaciou  lehotou  do 4 týždnov</v>
      </c>
      <c r="B3" s="141" t="s">
        <v>150</v>
      </c>
      <c r="C3" t="s">
        <v>255</v>
      </c>
      <c r="D3" t="s">
        <v>356</v>
      </c>
      <c r="E3" s="148" t="s">
        <v>151</v>
      </c>
    </row>
    <row r="4" spans="1:9" ht="13">
      <c r="A4" t="str">
        <f t="shared" si="0"/>
        <v>k tejto farbe nieje k dispozícií</v>
      </c>
      <c r="B4" s="141" t="s">
        <v>157</v>
      </c>
      <c r="C4" t="s">
        <v>256</v>
      </c>
      <c r="D4" t="s">
        <v>357</v>
      </c>
      <c r="E4" t="s">
        <v>556</v>
      </c>
    </row>
    <row r="5" spans="1:9">
      <c r="A5" t="str">
        <f t="shared" si="0"/>
        <v>oliva kartáčovaná</v>
      </c>
      <c r="B5" s="141" t="s">
        <v>155</v>
      </c>
      <c r="C5" t="s">
        <v>240</v>
      </c>
      <c r="D5" t="s">
        <v>155</v>
      </c>
      <c r="E5" s="148" t="s">
        <v>492</v>
      </c>
    </row>
    <row r="6" spans="1:9">
      <c r="A6" t="str">
        <f t="shared" si="0"/>
        <v xml:space="preserve">Pokiaľ budete používať ako výplň sklo / zrkadlo, je nutné doobjednať tesnenie. Dĺžka tesnenia na jedno krídlo je </v>
      </c>
      <c r="B6" s="141" t="s">
        <v>184</v>
      </c>
      <c r="C6" t="s">
        <v>252</v>
      </c>
      <c r="D6" t="s">
        <v>358</v>
      </c>
      <c r="E6" s="148" t="s">
        <v>454</v>
      </c>
    </row>
    <row r="7" spans="1:9">
      <c r="A7" t="str">
        <f t="shared" si="0"/>
        <v xml:space="preserve">Pokiaľ budete používať ako výplň sklo / zrkadlo, je nutné doobjednať tesnenie. Dĺžka tesnenia na jedno krídlo je </v>
      </c>
      <c r="B7" s="141" t="s">
        <v>992</v>
      </c>
      <c r="C7" t="s">
        <v>252</v>
      </c>
      <c r="D7" t="s">
        <v>358</v>
      </c>
      <c r="E7" s="148" t="s">
        <v>454</v>
      </c>
    </row>
    <row r="8" spans="1:9">
      <c r="A8" t="str">
        <f t="shared" si="0"/>
        <v>m, pokiaľ je preskenných viac krídel, treba vynásobiť</v>
      </c>
      <c r="B8" s="141" t="s">
        <v>185</v>
      </c>
      <c r="C8" t="s">
        <v>254</v>
      </c>
      <c r="D8" s="141" t="s">
        <v>359</v>
      </c>
      <c r="E8" s="148" t="s">
        <v>455</v>
      </c>
    </row>
    <row r="9" spans="1:9">
      <c r="A9" t="str">
        <f t="shared" si="0"/>
        <v>ks, pokiaľ je preskenných viac krídel, treba vynásobiť</v>
      </c>
      <c r="B9" s="141" t="s">
        <v>989</v>
      </c>
      <c r="C9" t="s">
        <v>254</v>
      </c>
      <c r="D9" s="141" t="s">
        <v>990</v>
      </c>
      <c r="E9" s="148" t="s">
        <v>991</v>
      </c>
    </row>
    <row r="10" spans="1:9">
      <c r="A10" t="str">
        <f t="shared" si="0"/>
        <v>Potrebná dĺžka tesnenia pri celkovom presklení (nutné objednať celé metre)</v>
      </c>
      <c r="B10" s="141" t="s">
        <v>76</v>
      </c>
      <c r="C10" t="s">
        <v>253</v>
      </c>
      <c r="D10" t="s">
        <v>360</v>
      </c>
      <c r="E10" s="148" t="s">
        <v>456</v>
      </c>
    </row>
    <row r="11" spans="1:9">
      <c r="A11" t="str">
        <f t="shared" si="0"/>
        <v>Potrebná dĺžka tesnenia pri celkovom presklení (nutné objednať celé metre)</v>
      </c>
      <c r="B11" s="141" t="s">
        <v>993</v>
      </c>
      <c r="C11" t="s">
        <v>253</v>
      </c>
      <c r="D11" t="s">
        <v>360</v>
      </c>
      <c r="E11" s="148" t="s">
        <v>456</v>
      </c>
    </row>
    <row r="12" spans="1:9">
      <c r="A12" t="str">
        <f t="shared" si="0"/>
        <v>(pri kombináciach s H profilmi je nutné pripočítať potrebnú dĺžku - tesnenie musí byť po celom odvode každého skla</v>
      </c>
      <c r="B12" s="141" t="s">
        <v>80</v>
      </c>
      <c r="C12" t="s">
        <v>186</v>
      </c>
      <c r="D12" t="s">
        <v>361</v>
      </c>
      <c r="E12" s="148" t="s">
        <v>457</v>
      </c>
    </row>
    <row r="13" spans="1:9">
      <c r="A13" t="str">
        <f t="shared" si="0"/>
        <v>(pri kombináciach s H profilmi je nutné pripočítať potrebnú dĺžku - tesnenie musí byť po celom odvode každého skla</v>
      </c>
      <c r="B13" s="141" t="s">
        <v>994</v>
      </c>
      <c r="C13" t="s">
        <v>186</v>
      </c>
      <c r="D13" t="s">
        <v>361</v>
      </c>
      <c r="E13" s="148" t="s">
        <v>457</v>
      </c>
    </row>
    <row r="14" spans="1:9">
      <c r="A14" t="str">
        <f t="shared" si="0"/>
        <v>Vaša poznámka:</v>
      </c>
      <c r="B14" s="141" t="s">
        <v>133</v>
      </c>
      <c r="C14" t="s">
        <v>189</v>
      </c>
      <c r="D14" t="s">
        <v>333</v>
      </c>
      <c r="E14" s="149" t="s">
        <v>458</v>
      </c>
    </row>
    <row r="15" spans="1:9">
      <c r="A15" t="str">
        <f t="shared" si="0"/>
        <v>CELKOM  (bez DPH)</v>
      </c>
      <c r="B15" s="141" t="s">
        <v>1185</v>
      </c>
      <c r="C15" t="s">
        <v>1188</v>
      </c>
      <c r="D15" t="s">
        <v>1186</v>
      </c>
      <c r="E15" s="149" t="s">
        <v>1187</v>
      </c>
    </row>
    <row r="16" spans="1:9">
      <c r="A16" t="str">
        <f t="shared" si="0"/>
        <v>názov</v>
      </c>
      <c r="B16" s="395" t="s">
        <v>17</v>
      </c>
      <c r="C16" t="s">
        <v>190</v>
      </c>
      <c r="D16" t="s">
        <v>324</v>
      </c>
      <c r="E16" s="149" t="s">
        <v>459</v>
      </c>
    </row>
    <row r="17" spans="1:5">
      <c r="A17" t="str">
        <f t="shared" si="0"/>
        <v>ks</v>
      </c>
      <c r="B17" s="141" t="s">
        <v>42</v>
      </c>
      <c r="C17" t="s">
        <v>191</v>
      </c>
      <c r="D17" t="s">
        <v>42</v>
      </c>
      <c r="E17" s="148" t="s">
        <v>460</v>
      </c>
    </row>
    <row r="18" spans="1:5">
      <c r="A18" t="str">
        <f t="shared" si="0"/>
        <v>cena/ks</v>
      </c>
      <c r="B18" s="141" t="s">
        <v>43</v>
      </c>
      <c r="C18" t="s">
        <v>192</v>
      </c>
      <c r="D18" t="s">
        <v>43</v>
      </c>
      <c r="E18" s="150" t="s">
        <v>461</v>
      </c>
    </row>
    <row r="19" spans="1:5">
      <c r="A19" t="str">
        <f t="shared" si="0"/>
        <v>cena celkom</v>
      </c>
      <c r="B19" s="396" t="s">
        <v>44</v>
      </c>
      <c r="C19" t="s">
        <v>193</v>
      </c>
      <c r="D19" t="s">
        <v>349</v>
      </c>
      <c r="E19" s="150" t="s">
        <v>462</v>
      </c>
    </row>
    <row r="20" spans="1:5">
      <c r="A20" t="str">
        <f t="shared" si="0"/>
        <v>celkom netto:</v>
      </c>
      <c r="B20" s="397" t="s">
        <v>71</v>
      </c>
      <c r="C20" t="s">
        <v>194</v>
      </c>
      <c r="D20" t="s">
        <v>350</v>
      </c>
      <c r="E20" s="150" t="s">
        <v>463</v>
      </c>
    </row>
    <row r="21" spans="1:5">
      <c r="A21" t="str">
        <f t="shared" si="0"/>
        <v>partnerská zľava:</v>
      </c>
      <c r="B21" s="141" t="s">
        <v>69</v>
      </c>
      <c r="C21" t="s">
        <v>195</v>
      </c>
      <c r="D21" t="s">
        <v>334</v>
      </c>
      <c r="E21" s="149" t="s">
        <v>464</v>
      </c>
    </row>
    <row r="22" spans="1:5">
      <c r="A22" t="str">
        <f t="shared" si="0"/>
        <v>KOVANIE NA VSTAVANÉ SKRINE:</v>
      </c>
      <c r="B22" s="141" t="s">
        <v>129</v>
      </c>
      <c r="C22" t="s">
        <v>196</v>
      </c>
      <c r="D22" t="s">
        <v>362</v>
      </c>
      <c r="E22" s="148" t="s">
        <v>465</v>
      </c>
    </row>
    <row r="23" spans="1:5">
      <c r="A23" t="str">
        <f t="shared" si="0"/>
        <v>Zákazník:</v>
      </c>
      <c r="B23" s="141" t="s">
        <v>112</v>
      </c>
      <c r="C23" t="s">
        <v>197</v>
      </c>
      <c r="D23" t="s">
        <v>335</v>
      </c>
      <c r="E23" s="148" t="s">
        <v>466</v>
      </c>
    </row>
    <row r="24" spans="1:5">
      <c r="A24" t="str">
        <f t="shared" si="0"/>
        <v>Názov:</v>
      </c>
      <c r="B24" s="141" t="s">
        <v>113</v>
      </c>
      <c r="C24" t="s">
        <v>198</v>
      </c>
      <c r="D24" t="s">
        <v>325</v>
      </c>
      <c r="E24" s="148" t="s">
        <v>467</v>
      </c>
    </row>
    <row r="25" spans="1:5">
      <c r="A25" t="str">
        <f t="shared" si="0"/>
        <v>Ulica:</v>
      </c>
      <c r="B25" s="141" t="s">
        <v>114</v>
      </c>
      <c r="C25" t="s">
        <v>199</v>
      </c>
      <c r="D25" t="s">
        <v>363</v>
      </c>
      <c r="E25" s="148" t="s">
        <v>363</v>
      </c>
    </row>
    <row r="26" spans="1:5">
      <c r="A26" t="str">
        <f t="shared" si="0"/>
        <v>Mesto, PSČ:</v>
      </c>
      <c r="B26" s="141" t="s">
        <v>118</v>
      </c>
      <c r="C26" t="s">
        <v>200</v>
      </c>
      <c r="D26" t="s">
        <v>326</v>
      </c>
      <c r="E26" s="148" t="s">
        <v>468</v>
      </c>
    </row>
    <row r="27" spans="1:5">
      <c r="A27" t="str">
        <f t="shared" si="0"/>
        <v>IČO:</v>
      </c>
      <c r="B27" s="141" t="s">
        <v>115</v>
      </c>
      <c r="C27" t="s">
        <v>201</v>
      </c>
      <c r="D27" t="s">
        <v>115</v>
      </c>
      <c r="E27" s="153" t="s">
        <v>471</v>
      </c>
    </row>
    <row r="28" spans="1:5">
      <c r="A28" t="str">
        <f t="shared" si="0"/>
        <v>Zľava:</v>
      </c>
      <c r="B28" s="141" t="s">
        <v>116</v>
      </c>
      <c r="C28" t="s">
        <v>202</v>
      </c>
      <c r="D28" t="s">
        <v>327</v>
      </c>
      <c r="E28" s="148" t="s">
        <v>469</v>
      </c>
    </row>
    <row r="29" spans="1:5">
      <c r="A29" t="str">
        <f t="shared" si="0"/>
        <v>Poznámka:</v>
      </c>
      <c r="B29" s="141" t="s">
        <v>117</v>
      </c>
      <c r="C29" t="s">
        <v>203</v>
      </c>
      <c r="D29" t="s">
        <v>117</v>
      </c>
      <c r="E29" s="148" t="s">
        <v>470</v>
      </c>
    </row>
    <row r="30" spans="1:5">
      <c r="A30" t="str">
        <f t="shared" si="0"/>
        <v>Výplň tl. 10mm(lebo sklo/zrkadlo s použitím tesnenia - hr.4 alebo 6mm) - rámové dvere</v>
      </c>
      <c r="B30" s="141" t="s">
        <v>111</v>
      </c>
      <c r="C30" t="s">
        <v>204</v>
      </c>
      <c r="D30" t="s">
        <v>364</v>
      </c>
      <c r="E30" s="148" t="s">
        <v>472</v>
      </c>
    </row>
    <row r="31" spans="1:5">
      <c r="A31" t="str">
        <f t="shared" si="0"/>
        <v>Výplň tl. 4 mm ( sklo lebo zrkadlo) - rámové dvere</v>
      </c>
      <c r="B31" s="141" t="s">
        <v>1453</v>
      </c>
      <c r="C31" t="s">
        <v>1501</v>
      </c>
      <c r="D31" t="s">
        <v>1454</v>
      </c>
      <c r="E31" s="148" t="s">
        <v>1502</v>
      </c>
    </row>
    <row r="32" spans="1:5">
      <c r="A32" t="str">
        <f t="shared" si="0"/>
        <v>Výplň 18mm (drevotrieska 18mm, prípadne kombinácia DTD + sklo / zrkadlo</v>
      </c>
      <c r="B32" s="141" t="s">
        <v>123</v>
      </c>
      <c r="C32" t="s">
        <v>205</v>
      </c>
      <c r="D32" t="s">
        <v>365</v>
      </c>
      <c r="E32" s="148" t="s">
        <v>473</v>
      </c>
    </row>
    <row r="33" spans="1:5">
      <c r="A33" t="str">
        <f t="shared" si="0"/>
        <v>zadajte počet:</v>
      </c>
      <c r="B33" s="141" t="s">
        <v>62</v>
      </c>
      <c r="C33" t="s">
        <v>206</v>
      </c>
      <c r="D33" t="s">
        <v>336</v>
      </c>
      <c r="E33" s="148" t="s">
        <v>474</v>
      </c>
    </row>
    <row r="34" spans="1:5">
      <c r="A34" t="str">
        <f t="shared" ref="A34:A67" si="1">IF($G$1=1,B34,IF($G$1=2,D34,IF($G$1=3,E34,IF($G$1=4,C34,"zadat jazyk"))))</f>
        <v>výška</v>
      </c>
      <c r="B34" s="141" t="s">
        <v>40</v>
      </c>
      <c r="C34" t="s">
        <v>208</v>
      </c>
      <c r="D34" t="s">
        <v>40</v>
      </c>
      <c r="E34" s="148" t="s">
        <v>475</v>
      </c>
    </row>
    <row r="35" spans="1:5">
      <c r="A35" t="str">
        <f t="shared" si="1"/>
        <v>šírka</v>
      </c>
      <c r="B35" s="141" t="s">
        <v>207</v>
      </c>
      <c r="C35" t="s">
        <v>209</v>
      </c>
      <c r="D35" t="s">
        <v>328</v>
      </c>
      <c r="E35" s="148" t="s">
        <v>476</v>
      </c>
    </row>
    <row r="36" spans="1:5">
      <c r="A36" t="str">
        <f t="shared" si="1"/>
        <v>počet dverí:</v>
      </c>
      <c r="B36" s="141" t="s">
        <v>6</v>
      </c>
      <c r="C36" t="s">
        <v>210</v>
      </c>
      <c r="D36" t="s">
        <v>329</v>
      </c>
      <c r="E36" s="148" t="s">
        <v>477</v>
      </c>
    </row>
    <row r="37" spans="1:5">
      <c r="A37" t="str">
        <f t="shared" si="1"/>
        <v>farba</v>
      </c>
      <c r="B37" s="141" t="s">
        <v>7</v>
      </c>
      <c r="C37" t="s">
        <v>211</v>
      </c>
      <c r="D37" t="s">
        <v>351</v>
      </c>
      <c r="E37" s="148" t="s">
        <v>478</v>
      </c>
    </row>
    <row r="38" spans="1:5">
      <c r="A38" t="str">
        <f t="shared" si="1"/>
        <v>typ spodného vedenia</v>
      </c>
      <c r="B38" s="141" t="s">
        <v>2882</v>
      </c>
      <c r="C38" s="148" t="s">
        <v>2976</v>
      </c>
      <c r="D38" s="148" t="s">
        <v>2977</v>
      </c>
      <c r="E38" s="148" t="s">
        <v>2975</v>
      </c>
    </row>
    <row r="39" spans="1:5">
      <c r="A39" t="str">
        <f t="shared" si="1"/>
        <v>V prípade použitia skla ako výplne</v>
      </c>
      <c r="B39" s="398" t="s">
        <v>77</v>
      </c>
      <c r="C39" t="s">
        <v>212</v>
      </c>
      <c r="D39" t="s">
        <v>366</v>
      </c>
      <c r="E39" s="148" t="s">
        <v>479</v>
      </c>
    </row>
    <row r="40" spans="1:5">
      <c r="A40" t="str">
        <f t="shared" si="1"/>
        <v>je treba použiť bezpečnostné sklo</v>
      </c>
      <c r="B40" s="395" t="s">
        <v>78</v>
      </c>
      <c r="C40" t="s">
        <v>213</v>
      </c>
      <c r="D40" t="s">
        <v>367</v>
      </c>
      <c r="E40" s="148" t="s">
        <v>480</v>
      </c>
    </row>
    <row r="41" spans="1:5">
      <c r="A41" t="str">
        <f t="shared" si="1"/>
        <v>alebo sklo zabezpečiť ochrannou fóliou</v>
      </c>
      <c r="B41" s="395" t="s">
        <v>79</v>
      </c>
      <c r="C41" t="s">
        <v>214</v>
      </c>
      <c r="D41" t="s">
        <v>368</v>
      </c>
      <c r="E41" s="148" t="s">
        <v>481</v>
      </c>
    </row>
    <row r="42" spans="1:5">
      <c r="A42" t="str">
        <f t="shared" si="1"/>
        <v>u sklenenej výplne (alebo zrkadla)</v>
      </c>
      <c r="B42" s="395" t="s">
        <v>1455</v>
      </c>
      <c r="C42" t="s">
        <v>1487</v>
      </c>
      <c r="D42" t="s">
        <v>1486</v>
      </c>
      <c r="E42" s="148" t="s">
        <v>2984</v>
      </c>
    </row>
    <row r="43" spans="1:5">
      <c r="A43" t="str">
        <f t="shared" si="1"/>
        <v>Maximálna hmotnosť krídla je 50 kg</v>
      </c>
      <c r="B43" s="141" t="s">
        <v>119</v>
      </c>
      <c r="C43" t="s">
        <v>215</v>
      </c>
      <c r="D43" t="s">
        <v>369</v>
      </c>
      <c r="E43" s="148" t="s">
        <v>482</v>
      </c>
    </row>
    <row r="44" spans="1:5">
      <c r="A44" t="str">
        <f t="shared" si="1"/>
        <v>Maximálna hmotnosť krídla je 35 kg</v>
      </c>
      <c r="B44" s="141" t="s">
        <v>984</v>
      </c>
      <c r="C44" t="s">
        <v>985</v>
      </c>
      <c r="D44" t="s">
        <v>986</v>
      </c>
      <c r="E44" s="148" t="s">
        <v>987</v>
      </c>
    </row>
    <row r="45" spans="1:5" ht="13">
      <c r="A45" t="str">
        <f t="shared" si="1"/>
        <v>vypíšte týchto 5 políčok !!! Údaje v mm</v>
      </c>
      <c r="B45" s="141" t="s">
        <v>2883</v>
      </c>
      <c r="C45" t="s">
        <v>2978</v>
      </c>
      <c r="D45" t="s">
        <v>2980</v>
      </c>
      <c r="E45" t="s">
        <v>2982</v>
      </c>
    </row>
    <row r="46" spans="1:5" ht="13">
      <c r="A46" t="str">
        <f t="shared" ref="A46" si="2">IF($G$1=1,B46,IF($G$1=2,D46,IF($G$1=3,E46,IF($G$1=4,C46,"zadat jazyk"))))</f>
        <v>vypíšte tieto 4 políčka !!! Údaje v mm</v>
      </c>
      <c r="B46" s="141" t="s">
        <v>2933</v>
      </c>
      <c r="C46" t="s">
        <v>2979</v>
      </c>
      <c r="D46" t="s">
        <v>2981</v>
      </c>
      <c r="E46" t="s">
        <v>2983</v>
      </c>
    </row>
    <row r="47" spans="1:5">
      <c r="A47" t="str">
        <f t="shared" si="1"/>
        <v>krídlo dverí:</v>
      </c>
      <c r="B47" s="7" t="s">
        <v>8</v>
      </c>
      <c r="C47" s="7" t="s">
        <v>216</v>
      </c>
      <c r="D47" t="s">
        <v>352</v>
      </c>
      <c r="E47" s="149" t="s">
        <v>483</v>
      </c>
    </row>
    <row r="48" spans="1:5">
      <c r="A48" t="str">
        <f t="shared" si="1"/>
        <v>rozmer výplne 18mm:</v>
      </c>
      <c r="B48" s="7" t="s">
        <v>18</v>
      </c>
      <c r="C48" s="7" t="s">
        <v>217</v>
      </c>
      <c r="D48" t="s">
        <v>330</v>
      </c>
      <c r="E48" s="149" t="s">
        <v>484</v>
      </c>
    </row>
    <row r="49" spans="1:5">
      <c r="A49" t="str">
        <f t="shared" si="1"/>
        <v>rozmer výplne 12mm:</v>
      </c>
      <c r="B49" s="7" t="s">
        <v>19</v>
      </c>
      <c r="C49" s="7" t="s">
        <v>218</v>
      </c>
      <c r="D49" t="s">
        <v>331</v>
      </c>
      <c r="E49" s="149" t="s">
        <v>485</v>
      </c>
    </row>
    <row r="50" spans="1:5">
      <c r="A50" t="str">
        <f t="shared" si="1"/>
        <v>rozmer zrkadla /na DTD 12mm/</v>
      </c>
      <c r="B50" s="7" t="s">
        <v>20</v>
      </c>
      <c r="C50" s="7" t="s">
        <v>219</v>
      </c>
      <c r="D50" t="s">
        <v>370</v>
      </c>
      <c r="E50" s="148" t="s">
        <v>486</v>
      </c>
    </row>
    <row r="51" spans="1:5">
      <c r="A51" t="str">
        <f t="shared" si="1"/>
        <v>Dĺžka úchytkového profilu (+2 mm)</v>
      </c>
      <c r="B51" s="7" t="s">
        <v>81</v>
      </c>
      <c r="C51" s="7" t="s">
        <v>220</v>
      </c>
      <c r="D51" t="s">
        <v>371</v>
      </c>
      <c r="E51" s="148" t="s">
        <v>487</v>
      </c>
    </row>
    <row r="52" spans="1:5">
      <c r="A52" t="str">
        <f t="shared" si="1"/>
        <v>dodatočné odpočty výšky vypočítaných výplní pri použití deliacich profilov</v>
      </c>
      <c r="B52" s="7" t="s">
        <v>13</v>
      </c>
      <c r="C52" s="7" t="s">
        <v>166</v>
      </c>
      <c r="D52" t="s">
        <v>372</v>
      </c>
      <c r="E52" s="148" t="s">
        <v>488</v>
      </c>
    </row>
    <row r="53" spans="1:5">
      <c r="A53" t="str">
        <f t="shared" si="1"/>
        <v>H18, T profil = 2mm</v>
      </c>
      <c r="B53" s="7" t="s">
        <v>47</v>
      </c>
      <c r="C53" s="7" t="s">
        <v>47</v>
      </c>
      <c r="D53" s="7" t="s">
        <v>47</v>
      </c>
      <c r="E53" s="149" t="s">
        <v>47</v>
      </c>
    </row>
    <row r="54" spans="1:5">
      <c r="A54" t="str">
        <f t="shared" si="1"/>
        <v>odpočítať v prípade sklenenej výplne = 4mm (2mm z každej strany)</v>
      </c>
      <c r="B54" s="7" t="s">
        <v>131</v>
      </c>
      <c r="C54" s="7" t="s">
        <v>221</v>
      </c>
      <c r="D54" t="s">
        <v>373</v>
      </c>
      <c r="E54" s="148" t="s">
        <v>489</v>
      </c>
    </row>
    <row r="55" spans="1:5">
      <c r="A55" t="str">
        <f t="shared" si="1"/>
        <v>viď obrázok</v>
      </c>
      <c r="B55" s="7" t="s">
        <v>132</v>
      </c>
      <c r="C55" s="7" t="s">
        <v>222</v>
      </c>
      <c r="D55" t="s">
        <v>374</v>
      </c>
      <c r="E55" s="148" t="s">
        <v>490</v>
      </c>
    </row>
    <row r="56" spans="1:5" ht="15">
      <c r="A56" t="str">
        <f t="shared" si="1"/>
        <v>kartáčovaná oliva</v>
      </c>
      <c r="B56" s="7" t="s">
        <v>158</v>
      </c>
      <c r="C56" s="399" t="s">
        <v>240</v>
      </c>
      <c r="D56" t="s">
        <v>158</v>
      </c>
      <c r="E56" s="148" t="s">
        <v>492</v>
      </c>
    </row>
    <row r="57" spans="1:5">
      <c r="A57" t="str">
        <f t="shared" si="1"/>
        <v>výška až 3,5m!</v>
      </c>
      <c r="B57" s="141" t="s">
        <v>128</v>
      </c>
      <c r="C57" t="s">
        <v>241</v>
      </c>
      <c r="D57" t="s">
        <v>128</v>
      </c>
      <c r="E57" s="148" t="s">
        <v>491</v>
      </c>
    </row>
    <row r="58" spans="1:5">
      <c r="A58" t="str">
        <f t="shared" si="1"/>
        <v>výška až 3 m!</v>
      </c>
      <c r="B58" s="141" t="s">
        <v>998</v>
      </c>
      <c r="C58" t="s">
        <v>997</v>
      </c>
      <c r="D58" t="s">
        <v>998</v>
      </c>
      <c r="E58" s="148" t="s">
        <v>999</v>
      </c>
    </row>
    <row r="59" spans="1:5">
      <c r="A59" t="str">
        <f t="shared" si="1"/>
        <v>Na zostavu je možné použiť dekoračnú fóliu, viď vzorkovník fólií.Ceny sa líšia podľa dekoru, časť je na objednávku</v>
      </c>
      <c r="B59" s="141" t="s">
        <v>122</v>
      </c>
      <c r="C59" t="s">
        <v>242</v>
      </c>
      <c r="D59" t="s">
        <v>375</v>
      </c>
      <c r="E59" s="148" t="s">
        <v>493</v>
      </c>
    </row>
    <row r="60" spans="1:5">
      <c r="A60" t="str">
        <f t="shared" si="1"/>
        <v>cena podľa dekoru</v>
      </c>
      <c r="B60" s="141" t="s">
        <v>134</v>
      </c>
      <c r="C60" t="s">
        <v>244</v>
      </c>
      <c r="D60" t="s">
        <v>353</v>
      </c>
      <c r="E60" s="148" t="s">
        <v>494</v>
      </c>
    </row>
    <row r="61" spans="1:5" ht="15">
      <c r="A61" t="str">
        <f t="shared" si="1"/>
        <v>systém Maxim (kombinácia DTD 18mm a sklo)</v>
      </c>
      <c r="B61" s="141" t="s">
        <v>245</v>
      </c>
      <c r="C61" t="s">
        <v>332</v>
      </c>
      <c r="D61" t="s">
        <v>376</v>
      </c>
      <c r="E61" s="399" t="s">
        <v>555</v>
      </c>
    </row>
    <row r="62" spans="1:5" ht="15">
      <c r="A62" t="str">
        <f t="shared" si="1"/>
        <v>systém Simple (kombinácia DTD 18mm a sklo)</v>
      </c>
      <c r="B62" s="141" t="s">
        <v>1178</v>
      </c>
      <c r="C62" t="s">
        <v>1001</v>
      </c>
      <c r="D62" t="s">
        <v>1002</v>
      </c>
      <c r="E62" s="399" t="s">
        <v>1003</v>
      </c>
    </row>
    <row r="63" spans="1:5">
      <c r="A63" t="str">
        <f t="shared" si="1"/>
        <v>rozmer výplne 16mm</v>
      </c>
      <c r="B63" s="7" t="s">
        <v>130</v>
      </c>
      <c r="C63" s="7" t="s">
        <v>246</v>
      </c>
      <c r="D63" t="s">
        <v>354</v>
      </c>
      <c r="E63" s="148" t="s">
        <v>495</v>
      </c>
    </row>
    <row r="64" spans="1:5">
      <c r="A64" t="str">
        <f t="shared" si="1"/>
        <v>Pri tejto zostave nie je možné použiť kombináciu so sklom / zrkadlom</v>
      </c>
      <c r="B64" s="141" t="s">
        <v>82</v>
      </c>
      <c r="C64" t="s">
        <v>247</v>
      </c>
      <c r="D64" t="s">
        <v>377</v>
      </c>
      <c r="E64" s="148" t="s">
        <v>496</v>
      </c>
    </row>
    <row r="65" spans="1:5">
      <c r="A65" t="str">
        <f t="shared" si="1"/>
        <v>Táto položka je na objednávku, počítajte prosím s dodacou dobou 3-4 týždne</v>
      </c>
      <c r="B65" s="141" t="s">
        <v>139</v>
      </c>
      <c r="C65" t="s">
        <v>248</v>
      </c>
      <c r="D65" t="s">
        <v>378</v>
      </c>
      <c r="E65" s="148" t="s">
        <v>151</v>
      </c>
    </row>
    <row r="66" spans="1:5">
      <c r="A66" t="str">
        <f t="shared" si="1"/>
        <v>Voliteľné príslušenstvo:</v>
      </c>
      <c r="B66" s="141" t="s">
        <v>2879</v>
      </c>
      <c r="C66" t="s">
        <v>171</v>
      </c>
      <c r="D66" t="s">
        <v>2881</v>
      </c>
      <c r="E66" s="148" t="s">
        <v>2880</v>
      </c>
    </row>
    <row r="67" spans="1:5" ht="15">
      <c r="A67" t="str">
        <f t="shared" si="1"/>
        <v>plocha k aplikácií</v>
      </c>
      <c r="B67" s="141" t="s">
        <v>277</v>
      </c>
      <c r="C67" s="399" t="s">
        <v>275</v>
      </c>
      <c r="D67" t="s">
        <v>379</v>
      </c>
      <c r="E67" s="399" t="s">
        <v>553</v>
      </c>
    </row>
    <row r="68" spans="1:5" ht="15">
      <c r="A68" t="str">
        <f t="shared" ref="A68:A101" si="3">IF($G$1=1,B68,IF($G$1=2,D68,IF($G$1=3,E68,IF($G$1=4,C68,"zadat jazyk"))))</f>
        <v>dekoračné fólie</v>
      </c>
      <c r="B68" s="141" t="s">
        <v>278</v>
      </c>
      <c r="C68" s="399" t="s">
        <v>276</v>
      </c>
      <c r="D68" t="s">
        <v>380</v>
      </c>
      <c r="E68" s="399" t="s">
        <v>554</v>
      </c>
    </row>
    <row r="69" spans="1:5" ht="15">
      <c r="A69" t="str">
        <f t="shared" si="3"/>
        <v>Systémy:    Vzorkovník profilov objednávajte pod kódom 180245 + 458673</v>
      </c>
      <c r="B69" s="141" t="s">
        <v>4718</v>
      </c>
      <c r="C69" s="399" t="s">
        <v>4719</v>
      </c>
      <c r="D69" t="s">
        <v>4720</v>
      </c>
      <c r="E69" s="148" t="s">
        <v>4721</v>
      </c>
    </row>
    <row r="70" spans="1:5">
      <c r="A70" t="str">
        <f t="shared" si="3"/>
        <v>VNÚTORNÝ ROZMER SKRINE:</v>
      </c>
      <c r="B70" s="10" t="s">
        <v>280</v>
      </c>
      <c r="C70" s="7" t="s">
        <v>159</v>
      </c>
      <c r="D70" t="s">
        <v>355</v>
      </c>
      <c r="E70" s="149" t="s">
        <v>497</v>
      </c>
    </row>
    <row r="71" spans="1:5">
      <c r="A71" t="str">
        <f t="shared" si="3"/>
        <v>krídlo dverí:</v>
      </c>
      <c r="B71" s="10" t="s">
        <v>8</v>
      </c>
      <c r="C71" s="7" t="s">
        <v>160</v>
      </c>
      <c r="D71" t="s">
        <v>352</v>
      </c>
      <c r="E71" s="149" t="s">
        <v>483</v>
      </c>
    </row>
    <row r="72" spans="1:5">
      <c r="A72" t="str">
        <f t="shared" si="3"/>
        <v>rozmer výplne 10 mm:</v>
      </c>
      <c r="B72" s="10" t="s">
        <v>2959</v>
      </c>
      <c r="C72" s="7" t="s">
        <v>2956</v>
      </c>
      <c r="D72" t="s">
        <v>2957</v>
      </c>
      <c r="E72" s="149" t="s">
        <v>2958</v>
      </c>
    </row>
    <row r="73" spans="1:5">
      <c r="A73" t="str">
        <f t="shared" si="3"/>
        <v>rozmer zrkadla / skla</v>
      </c>
      <c r="B73" s="10" t="s">
        <v>10</v>
      </c>
      <c r="C73" s="7" t="s">
        <v>161</v>
      </c>
      <c r="D73" t="s">
        <v>381</v>
      </c>
      <c r="E73" s="149" t="s">
        <v>498</v>
      </c>
    </row>
    <row r="74" spans="1:5">
      <c r="A74" t="str">
        <f t="shared" si="3"/>
        <v>dĺžka vodiacej a krycej lišty krídla</v>
      </c>
      <c r="B74" s="10" t="s">
        <v>11</v>
      </c>
      <c r="C74" s="7" t="s">
        <v>162</v>
      </c>
      <c r="D74" t="s">
        <v>382</v>
      </c>
      <c r="E74" s="149" t="s">
        <v>499</v>
      </c>
    </row>
    <row r="75" spans="1:5">
      <c r="A75" t="str">
        <f t="shared" si="3"/>
        <v>Horný/spodný profil</v>
      </c>
      <c r="B75" s="10" t="s">
        <v>2960</v>
      </c>
      <c r="C75" s="7" t="s">
        <v>163</v>
      </c>
      <c r="D75" t="s">
        <v>383</v>
      </c>
      <c r="E75" s="149" t="s">
        <v>500</v>
      </c>
    </row>
    <row r="76" spans="1:5">
      <c r="A76" t="str">
        <f t="shared" si="3"/>
        <v>úchytková lišta</v>
      </c>
      <c r="B76" s="10" t="s">
        <v>41</v>
      </c>
      <c r="C76" s="7" t="s">
        <v>164</v>
      </c>
      <c r="D76" t="s">
        <v>41</v>
      </c>
      <c r="E76" s="149" t="s">
        <v>501</v>
      </c>
    </row>
    <row r="77" spans="1:5">
      <c r="A77" t="str">
        <f t="shared" si="3"/>
        <v>Dĺžka tesnenia na sklo na jednom krídle</v>
      </c>
      <c r="B77" s="7" t="s">
        <v>281</v>
      </c>
      <c r="C77" s="7" t="s">
        <v>165</v>
      </c>
      <c r="D77" t="s">
        <v>384</v>
      </c>
      <c r="E77" s="148" t="s">
        <v>502</v>
      </c>
    </row>
    <row r="78" spans="1:5" ht="15">
      <c r="A78" t="str">
        <f t="shared" si="3"/>
        <v>dodatočné odpočty výšky vypočítaných výplní pri použití deliacich profilov výplne:</v>
      </c>
      <c r="B78" s="7" t="s">
        <v>13</v>
      </c>
      <c r="C78" s="399" t="s">
        <v>166</v>
      </c>
      <c r="D78" t="s">
        <v>385</v>
      </c>
      <c r="E78" s="148" t="s">
        <v>488</v>
      </c>
    </row>
    <row r="79" spans="1:5">
      <c r="A79" t="str">
        <f t="shared" si="3"/>
        <v>odpočet na tesnenie: 2mm/1strana</v>
      </c>
      <c r="B79" s="7" t="s">
        <v>282</v>
      </c>
      <c r="C79" s="7" t="s">
        <v>169</v>
      </c>
      <c r="D79" t="s">
        <v>386</v>
      </c>
      <c r="E79" s="148" t="s">
        <v>503</v>
      </c>
    </row>
    <row r="80" spans="1:5">
      <c r="A80" t="str">
        <f t="shared" si="3"/>
        <v>Objednávacie kódy, ceny:</v>
      </c>
      <c r="B80" s="10" t="s">
        <v>283</v>
      </c>
      <c r="C80" s="7" t="s">
        <v>170</v>
      </c>
      <c r="D80" t="s">
        <v>387</v>
      </c>
      <c r="E80" s="149" t="s">
        <v>504</v>
      </c>
    </row>
    <row r="81" spans="1:5">
      <c r="A81" t="str">
        <f t="shared" si="3"/>
        <v>Horný profil:</v>
      </c>
      <c r="B81" s="7" t="s">
        <v>1173</v>
      </c>
      <c r="C81" s="7" t="s">
        <v>172</v>
      </c>
      <c r="D81" t="s">
        <v>388</v>
      </c>
      <c r="E81" s="149" t="s">
        <v>505</v>
      </c>
    </row>
    <row r="82" spans="1:5">
      <c r="A82" t="str">
        <f t="shared" si="3"/>
        <v>spodný profil:</v>
      </c>
      <c r="B82" s="7" t="s">
        <v>1172</v>
      </c>
      <c r="C82" s="7" t="s">
        <v>173</v>
      </c>
      <c r="D82" t="s">
        <v>389</v>
      </c>
      <c r="E82" s="149" t="s">
        <v>506</v>
      </c>
    </row>
    <row r="83" spans="1:5">
      <c r="A83" t="str">
        <f t="shared" si="3"/>
        <v>krycí profil (maska):</v>
      </c>
      <c r="B83" s="7" t="s">
        <v>2885</v>
      </c>
      <c r="C83" s="7" t="s">
        <v>174</v>
      </c>
      <c r="D83" t="s">
        <v>2885</v>
      </c>
      <c r="E83" s="149" t="s">
        <v>2886</v>
      </c>
    </row>
    <row r="84" spans="1:5">
      <c r="A84" t="str">
        <f t="shared" si="3"/>
        <v>horné vozíky (sady)</v>
      </c>
      <c r="B84" s="7" t="s">
        <v>287</v>
      </c>
      <c r="C84" s="7" t="s">
        <v>175</v>
      </c>
      <c r="D84" t="s">
        <v>390</v>
      </c>
      <c r="E84" s="149" t="s">
        <v>508</v>
      </c>
    </row>
    <row r="85" spans="1:5">
      <c r="A85" t="str">
        <f t="shared" si="3"/>
        <v>spodné vozíky (sada)</v>
      </c>
      <c r="B85" s="7" t="s">
        <v>288</v>
      </c>
      <c r="C85" s="7" t="s">
        <v>176</v>
      </c>
      <c r="D85" t="s">
        <v>391</v>
      </c>
      <c r="E85" s="149" t="s">
        <v>509</v>
      </c>
    </row>
    <row r="86" spans="1:5">
      <c r="A86" t="str">
        <f t="shared" si="3"/>
        <v xml:space="preserve">pozicionér </v>
      </c>
      <c r="B86" s="7" t="s">
        <v>2878</v>
      </c>
      <c r="C86" s="7" t="s">
        <v>225</v>
      </c>
      <c r="D86" t="s">
        <v>402</v>
      </c>
      <c r="E86" s="149" t="s">
        <v>510</v>
      </c>
    </row>
    <row r="87" spans="1:5">
      <c r="A87" t="str">
        <f t="shared" si="3"/>
        <v>pozicionér</v>
      </c>
      <c r="B87" s="7" t="s">
        <v>1038</v>
      </c>
      <c r="C87" s="7" t="s">
        <v>225</v>
      </c>
      <c r="D87" t="s">
        <v>1039</v>
      </c>
      <c r="E87" s="149" t="s">
        <v>510</v>
      </c>
    </row>
    <row r="88" spans="1:5">
      <c r="A88" t="str">
        <f t="shared" si="3"/>
        <v>pozicionér do horného vedenia</v>
      </c>
      <c r="B88" s="7" t="s">
        <v>1524</v>
      </c>
      <c r="C88" s="7" t="s">
        <v>1525</v>
      </c>
      <c r="D88" t="s">
        <v>1526</v>
      </c>
      <c r="E88" s="149" t="s">
        <v>1527</v>
      </c>
    </row>
    <row r="89" spans="1:5">
      <c r="A89" t="str">
        <f t="shared" si="3"/>
        <v>dorazový kartáč</v>
      </c>
      <c r="B89" s="7" t="s">
        <v>1516</v>
      </c>
      <c r="C89" s="7" t="s">
        <v>1519</v>
      </c>
      <c r="D89" t="s">
        <v>1517</v>
      </c>
      <c r="E89" s="149" t="s">
        <v>1518</v>
      </c>
    </row>
    <row r="90" spans="1:5">
      <c r="A90" t="str">
        <f t="shared" si="3"/>
        <v>protiprachový kartáč</v>
      </c>
      <c r="B90" s="7" t="s">
        <v>1520</v>
      </c>
      <c r="C90" s="7" t="s">
        <v>1521</v>
      </c>
      <c r="D90" t="s">
        <v>1523</v>
      </c>
      <c r="E90" s="149" t="s">
        <v>1522</v>
      </c>
    </row>
    <row r="91" spans="1:5">
      <c r="A91" t="str">
        <f t="shared" si="3"/>
        <v>úchytková lišta</v>
      </c>
      <c r="B91" s="7" t="s">
        <v>41</v>
      </c>
      <c r="C91" s="7" t="s">
        <v>178</v>
      </c>
      <c r="D91" t="s">
        <v>41</v>
      </c>
      <c r="E91" s="149" t="s">
        <v>501</v>
      </c>
    </row>
    <row r="92" spans="1:5">
      <c r="A92" t="str">
        <f t="shared" si="3"/>
        <v>spojovacia skrutka</v>
      </c>
      <c r="B92" s="7" t="s">
        <v>14</v>
      </c>
      <c r="C92" s="7" t="s">
        <v>179</v>
      </c>
      <c r="D92" t="s">
        <v>392</v>
      </c>
      <c r="E92" s="149" t="s">
        <v>512</v>
      </c>
    </row>
    <row r="93" spans="1:5">
      <c r="A93" t="str">
        <f t="shared" si="3"/>
        <v>horný profil rámu (vodiaca lišta)</v>
      </c>
      <c r="B93" s="7" t="s">
        <v>289</v>
      </c>
      <c r="C93" s="7" t="s">
        <v>180</v>
      </c>
      <c r="D93" t="s">
        <v>393</v>
      </c>
      <c r="E93" s="149" t="s">
        <v>513</v>
      </c>
    </row>
    <row r="94" spans="1:5">
      <c r="A94" t="str">
        <f t="shared" si="3"/>
        <v>horný profil rámu (vodiaca lišta)</v>
      </c>
      <c r="B94" s="7" t="s">
        <v>289</v>
      </c>
      <c r="C94" s="7" t="s">
        <v>180</v>
      </c>
      <c r="D94" t="s">
        <v>393</v>
      </c>
      <c r="E94" s="149" t="s">
        <v>513</v>
      </c>
    </row>
    <row r="95" spans="1:5">
      <c r="A95" t="str">
        <f t="shared" si="3"/>
        <v>horizontálny spodný profil rámu</v>
      </c>
      <c r="B95" s="7" t="s">
        <v>290</v>
      </c>
      <c r="C95" s="7" t="s">
        <v>181</v>
      </c>
      <c r="D95" t="s">
        <v>394</v>
      </c>
      <c r="E95" s="149" t="s">
        <v>514</v>
      </c>
    </row>
    <row r="96" spans="1:5">
      <c r="A96" t="str">
        <f t="shared" si="3"/>
        <v>horizontálny spodný profil rámu</v>
      </c>
      <c r="B96" s="7" t="s">
        <v>290</v>
      </c>
      <c r="C96" s="7" t="s">
        <v>181</v>
      </c>
      <c r="D96" t="s">
        <v>394</v>
      </c>
      <c r="E96" s="149" t="s">
        <v>514</v>
      </c>
    </row>
    <row r="97" spans="1:5">
      <c r="A97" t="str">
        <f t="shared" si="3"/>
        <v>tlmič dorazu (pár) 25 kg</v>
      </c>
      <c r="B97" s="7" t="s">
        <v>823</v>
      </c>
      <c r="C97" s="7" t="s">
        <v>824</v>
      </c>
      <c r="D97" t="s">
        <v>825</v>
      </c>
      <c r="E97" s="149" t="s">
        <v>826</v>
      </c>
    </row>
    <row r="98" spans="1:5">
      <c r="A98" t="str">
        <f t="shared" si="3"/>
        <v>tlmič dorazu (pár) 50 kg</v>
      </c>
      <c r="B98" s="7" t="s">
        <v>830</v>
      </c>
      <c r="C98" s="7" t="s">
        <v>829</v>
      </c>
      <c r="D98" t="s">
        <v>828</v>
      </c>
      <c r="E98" s="149" t="s">
        <v>827</v>
      </c>
    </row>
    <row r="99" spans="1:5">
      <c r="A99" t="str">
        <f t="shared" si="3"/>
        <v>tlmič dorazu Simple (pár) 40 kg</v>
      </c>
      <c r="B99" s="7" t="s">
        <v>1436</v>
      </c>
      <c r="C99" s="7" t="s">
        <v>1437</v>
      </c>
      <c r="D99" t="s">
        <v>1438</v>
      </c>
      <c r="E99" s="149" t="s">
        <v>1439</v>
      </c>
    </row>
    <row r="100" spans="1:5">
      <c r="A100" t="str">
        <f t="shared" si="3"/>
        <v>spojovací profil H10-3metre</v>
      </c>
      <c r="B100" s="7" t="s">
        <v>291</v>
      </c>
      <c r="C100" s="7" t="s">
        <v>182</v>
      </c>
      <c r="D100" t="s">
        <v>395</v>
      </c>
      <c r="E100" s="149" t="s">
        <v>515</v>
      </c>
    </row>
    <row r="101" spans="1:5">
      <c r="A101" t="str">
        <f t="shared" si="3"/>
        <v>spojovací profil H30-3metre</v>
      </c>
      <c r="B101" s="7" t="s">
        <v>292</v>
      </c>
      <c r="C101" s="7" t="s">
        <v>183</v>
      </c>
      <c r="D101" t="s">
        <v>396</v>
      </c>
      <c r="E101" s="149" t="s">
        <v>516</v>
      </c>
    </row>
    <row r="102" spans="1:5">
      <c r="A102" t="str">
        <f t="shared" ref="A102:A133" si="4">IF($G$1=1,B102,IF($G$1=2,D102,IF($G$1=3,E102,IF($G$1=4,C102,"zadat jazyk"))))</f>
        <v>tesnenie na sklo 4mm</v>
      </c>
      <c r="B102" s="7" t="s">
        <v>293</v>
      </c>
      <c r="C102" s="7" t="s">
        <v>187</v>
      </c>
      <c r="D102" t="s">
        <v>397</v>
      </c>
      <c r="E102" s="149" t="s">
        <v>517</v>
      </c>
    </row>
    <row r="103" spans="1:5">
      <c r="A103" t="str">
        <f t="shared" si="4"/>
        <v>tesnenie na sklo 4,5 mm</v>
      </c>
      <c r="B103" s="7" t="s">
        <v>684</v>
      </c>
      <c r="C103" s="7" t="s">
        <v>685</v>
      </c>
      <c r="D103" t="s">
        <v>686</v>
      </c>
      <c r="E103" s="149" t="s">
        <v>687</v>
      </c>
    </row>
    <row r="104" spans="1:5">
      <c r="A104" t="str">
        <f t="shared" si="4"/>
        <v>tesnenie na sklo 6mm</v>
      </c>
      <c r="B104" s="7" t="s">
        <v>294</v>
      </c>
      <c r="C104" s="7" t="s">
        <v>188</v>
      </c>
      <c r="D104" t="s">
        <v>398</v>
      </c>
      <c r="E104" s="149" t="s">
        <v>518</v>
      </c>
    </row>
    <row r="105" spans="1:5">
      <c r="A105" t="str">
        <f t="shared" si="4"/>
        <v>tesnenie na sklo 4mm asymetrické</v>
      </c>
      <c r="B105" s="7" t="s">
        <v>295</v>
      </c>
      <c r="C105" s="7" t="s">
        <v>243</v>
      </c>
      <c r="D105" t="s">
        <v>399</v>
      </c>
      <c r="E105" s="149" t="s">
        <v>519</v>
      </c>
    </row>
    <row r="106" spans="1:5">
      <c r="A106" t="str">
        <f t="shared" si="4"/>
        <v>Horný profil:</v>
      </c>
      <c r="B106" s="7" t="s">
        <v>284</v>
      </c>
      <c r="C106" s="7" t="s">
        <v>172</v>
      </c>
      <c r="D106" t="s">
        <v>388</v>
      </c>
      <c r="E106" s="149" t="s">
        <v>505</v>
      </c>
    </row>
    <row r="107" spans="1:5">
      <c r="A107" t="str">
        <f t="shared" si="4"/>
        <v>spodný profil:</v>
      </c>
      <c r="B107" s="73" t="s">
        <v>285</v>
      </c>
      <c r="C107" s="7" t="s">
        <v>173</v>
      </c>
      <c r="D107" t="s">
        <v>389</v>
      </c>
      <c r="E107" s="149" t="s">
        <v>506</v>
      </c>
    </row>
    <row r="108" spans="1:5">
      <c r="A108" t="str">
        <f t="shared" si="4"/>
        <v>krycí profil = maska:</v>
      </c>
      <c r="B108" s="7" t="s">
        <v>286</v>
      </c>
      <c r="C108" s="7" t="s">
        <v>174</v>
      </c>
      <c r="D108" t="s">
        <v>286</v>
      </c>
      <c r="E108" s="149" t="s">
        <v>507</v>
      </c>
    </row>
    <row r="109" spans="1:5">
      <c r="A109" t="str">
        <f t="shared" si="4"/>
        <v>horný vozík</v>
      </c>
      <c r="B109" s="7" t="s">
        <v>296</v>
      </c>
      <c r="C109" s="7" t="s">
        <v>223</v>
      </c>
      <c r="D109" t="s">
        <v>400</v>
      </c>
      <c r="E109" s="149" t="s">
        <v>508</v>
      </c>
    </row>
    <row r="110" spans="1:5">
      <c r="A110" t="str">
        <f t="shared" si="4"/>
        <v>spodný vozík</v>
      </c>
      <c r="B110" s="7" t="s">
        <v>297</v>
      </c>
      <c r="C110" s="7" t="s">
        <v>224</v>
      </c>
      <c r="D110" t="s">
        <v>401</v>
      </c>
      <c r="E110" s="149" t="s">
        <v>509</v>
      </c>
    </row>
    <row r="111" spans="1:5">
      <c r="A111" t="str">
        <f t="shared" si="4"/>
        <v xml:space="preserve">pozicionér </v>
      </c>
      <c r="B111" s="7" t="s">
        <v>1528</v>
      </c>
      <c r="C111" s="7" t="s">
        <v>225</v>
      </c>
      <c r="D111" t="s">
        <v>402</v>
      </c>
      <c r="E111" s="149" t="s">
        <v>510</v>
      </c>
    </row>
    <row r="112" spans="1:5">
      <c r="A112" t="str">
        <f t="shared" si="4"/>
        <v>protiprachový kartáč samolepiaci</v>
      </c>
      <c r="B112" s="7" t="s">
        <v>298</v>
      </c>
      <c r="C112" s="7" t="s">
        <v>177</v>
      </c>
      <c r="D112" t="s">
        <v>403</v>
      </c>
      <c r="E112" s="148" t="s">
        <v>511</v>
      </c>
    </row>
    <row r="113" spans="1:5">
      <c r="A113" t="str">
        <f t="shared" si="4"/>
        <v>úchytková lišta</v>
      </c>
      <c r="B113" s="7" t="s">
        <v>41</v>
      </c>
      <c r="C113" s="7" t="s">
        <v>178</v>
      </c>
      <c r="D113" t="s">
        <v>41</v>
      </c>
      <c r="E113" s="149" t="s">
        <v>501</v>
      </c>
    </row>
    <row r="114" spans="1:5">
      <c r="A114" t="str">
        <f t="shared" si="4"/>
        <v>spojovací profil H18-3metre</v>
      </c>
      <c r="B114" s="7" t="s">
        <v>299</v>
      </c>
      <c r="C114" s="400" t="s">
        <v>226</v>
      </c>
      <c r="D114" t="s">
        <v>404</v>
      </c>
      <c r="E114" s="149" t="s">
        <v>520</v>
      </c>
    </row>
    <row r="115" spans="1:5">
      <c r="A115" t="str">
        <f t="shared" si="4"/>
        <v>spojovací T profil - 3metre /s drážkou/</v>
      </c>
      <c r="B115" s="7" t="s">
        <v>300</v>
      </c>
      <c r="C115" s="400" t="s">
        <v>227</v>
      </c>
      <c r="D115" t="s">
        <v>405</v>
      </c>
      <c r="E115" s="149" t="s">
        <v>521</v>
      </c>
    </row>
    <row r="116" spans="1:5">
      <c r="A116" t="str">
        <f t="shared" si="4"/>
        <v>spojovací T profil - 3metre /s lemom/</v>
      </c>
      <c r="B116" s="7" t="s">
        <v>301</v>
      </c>
      <c r="C116" s="400" t="s">
        <v>228</v>
      </c>
      <c r="D116" t="s">
        <v>406</v>
      </c>
      <c r="E116" s="149" t="s">
        <v>522</v>
      </c>
    </row>
    <row r="117" spans="1:5">
      <c r="A117" t="str">
        <f t="shared" si="4"/>
        <v>"U" profil na DTD 18mm - 3 metre /hladký/</v>
      </c>
      <c r="B117" s="7" t="s">
        <v>302</v>
      </c>
      <c r="C117" s="400" t="s">
        <v>229</v>
      </c>
      <c r="D117" t="s">
        <v>407</v>
      </c>
      <c r="E117" s="149" t="s">
        <v>523</v>
      </c>
    </row>
    <row r="118" spans="1:5">
      <c r="A118" t="str">
        <f t="shared" si="4"/>
        <v>"U" profil na DTD 18mm - 3 metre /lem/</v>
      </c>
      <c r="B118" s="7" t="s">
        <v>303</v>
      </c>
      <c r="C118" s="400" t="s">
        <v>230</v>
      </c>
      <c r="D118" t="s">
        <v>408</v>
      </c>
      <c r="E118" s="149" t="s">
        <v>524</v>
      </c>
    </row>
    <row r="119" spans="1:5">
      <c r="A119" t="str">
        <f t="shared" si="4"/>
        <v>uholník mini 11x17mm - 1,7m</v>
      </c>
      <c r="B119" s="7" t="s">
        <v>304</v>
      </c>
      <c r="C119" s="400" t="s">
        <v>231</v>
      </c>
      <c r="D119" t="s">
        <v>409</v>
      </c>
      <c r="E119" s="149" t="s">
        <v>525</v>
      </c>
    </row>
    <row r="120" spans="1:5">
      <c r="A120" t="str">
        <f t="shared" si="4"/>
        <v>uholník mini 11x17mm - 2,35m</v>
      </c>
      <c r="B120" s="401" t="s">
        <v>305</v>
      </c>
      <c r="C120" s="400" t="s">
        <v>232</v>
      </c>
      <c r="D120" t="s">
        <v>410</v>
      </c>
      <c r="E120" s="149" t="s">
        <v>526</v>
      </c>
    </row>
    <row r="121" spans="1:5">
      <c r="A121" t="str">
        <f t="shared" si="4"/>
        <v>uholník mini 11x17mm - 3m</v>
      </c>
      <c r="B121" s="73" t="s">
        <v>306</v>
      </c>
      <c r="C121" s="400" t="s">
        <v>233</v>
      </c>
      <c r="D121" t="s">
        <v>411</v>
      </c>
      <c r="E121" s="149" t="s">
        <v>527</v>
      </c>
    </row>
    <row r="122" spans="1:5">
      <c r="A122" t="str">
        <f t="shared" si="4"/>
        <v>uholník K2 19x18mm - 1,7m</v>
      </c>
      <c r="B122" s="7" t="s">
        <v>307</v>
      </c>
      <c r="C122" s="400" t="s">
        <v>234</v>
      </c>
      <c r="D122" t="s">
        <v>412</v>
      </c>
      <c r="E122" s="149" t="s">
        <v>528</v>
      </c>
    </row>
    <row r="123" spans="1:5">
      <c r="A123" t="str">
        <f t="shared" si="4"/>
        <v>uholník K2 19x18mm - 2,35m</v>
      </c>
      <c r="B123" s="7" t="s">
        <v>308</v>
      </c>
      <c r="C123" s="400" t="s">
        <v>235</v>
      </c>
      <c r="D123" t="s">
        <v>413</v>
      </c>
      <c r="E123" s="149" t="s">
        <v>529</v>
      </c>
    </row>
    <row r="124" spans="1:5">
      <c r="A124" t="str">
        <f t="shared" si="4"/>
        <v>uholník K2 19x18mm - 3,00m</v>
      </c>
      <c r="B124" s="7" t="s">
        <v>309</v>
      </c>
      <c r="C124" s="400" t="s">
        <v>236</v>
      </c>
      <c r="D124" t="s">
        <v>414</v>
      </c>
      <c r="E124" s="149" t="s">
        <v>530</v>
      </c>
    </row>
    <row r="125" spans="1:5">
      <c r="A125" t="str">
        <f t="shared" si="4"/>
        <v>tlmič dorazu (ks)</v>
      </c>
      <c r="B125" s="7" t="s">
        <v>1284</v>
      </c>
      <c r="C125" s="400" t="s">
        <v>1287</v>
      </c>
      <c r="D125" t="s">
        <v>1285</v>
      </c>
      <c r="E125" s="149" t="s">
        <v>1286</v>
      </c>
    </row>
    <row r="126" spans="1:5">
      <c r="A126" t="str">
        <f t="shared" si="4"/>
        <v>DTD</v>
      </c>
      <c r="B126" s="141" t="s">
        <v>310</v>
      </c>
      <c r="C126" s="8" t="s">
        <v>167</v>
      </c>
      <c r="D126" t="s">
        <v>310</v>
      </c>
      <c r="E126" s="148" t="s">
        <v>536</v>
      </c>
    </row>
    <row r="127" spans="1:5">
      <c r="A127" t="str">
        <f t="shared" si="4"/>
        <v>zrkadlo / sklo</v>
      </c>
      <c r="B127" s="141" t="s">
        <v>311</v>
      </c>
      <c r="C127" s="402" t="s">
        <v>168</v>
      </c>
      <c r="D127" t="s">
        <v>415</v>
      </c>
      <c r="E127" s="148" t="s">
        <v>531</v>
      </c>
    </row>
    <row r="128" spans="1:5" ht="15">
      <c r="A128" t="str">
        <f t="shared" si="4"/>
        <v xml:space="preserve">strieborná </v>
      </c>
      <c r="B128" s="284" t="s">
        <v>138</v>
      </c>
      <c r="C128" t="s">
        <v>249</v>
      </c>
      <c r="D128" t="s">
        <v>416</v>
      </c>
      <c r="E128" s="148" t="s">
        <v>532</v>
      </c>
    </row>
    <row r="129" spans="1:12">
      <c r="A129" t="str">
        <f t="shared" si="4"/>
        <v>zlatá</v>
      </c>
      <c r="B129" s="141" t="s">
        <v>26</v>
      </c>
      <c r="C129" t="s">
        <v>250</v>
      </c>
      <c r="D129" t="s">
        <v>26</v>
      </c>
      <c r="E129" s="148" t="s">
        <v>533</v>
      </c>
    </row>
    <row r="130" spans="1:12" ht="15">
      <c r="A130" t="str">
        <f t="shared" si="4"/>
        <v>oliva</v>
      </c>
      <c r="B130" s="141" t="s">
        <v>251</v>
      </c>
      <c r="C130" s="284" t="s">
        <v>251</v>
      </c>
      <c r="D130" t="s">
        <v>251</v>
      </c>
      <c r="E130" s="148" t="s">
        <v>534</v>
      </c>
    </row>
    <row r="131" spans="1:12">
      <c r="A131" t="str">
        <f t="shared" si="4"/>
        <v>oliva kartáčovaná</v>
      </c>
      <c r="B131" s="141" t="s">
        <v>155</v>
      </c>
      <c r="C131" t="s">
        <v>240</v>
      </c>
      <c r="D131" t="s">
        <v>155</v>
      </c>
      <c r="E131" s="148" t="s">
        <v>492</v>
      </c>
    </row>
    <row r="132" spans="1:12">
      <c r="A132" t="str">
        <f t="shared" si="4"/>
        <v>biela lesk</v>
      </c>
      <c r="B132" s="141" t="s">
        <v>2695</v>
      </c>
      <c r="C132" t="s">
        <v>2692</v>
      </c>
      <c r="D132" t="s">
        <v>2693</v>
      </c>
      <c r="E132" s="148" t="s">
        <v>2694</v>
      </c>
    </row>
    <row r="133" spans="1:12" ht="16">
      <c r="A133" t="str">
        <f t="shared" si="4"/>
        <v>doprodej</v>
      </c>
      <c r="B133" s="141" t="s">
        <v>338</v>
      </c>
      <c r="C133" s="403" t="s">
        <v>337</v>
      </c>
      <c r="D133" t="s">
        <v>338</v>
      </c>
      <c r="E133" s="148" t="s">
        <v>535</v>
      </c>
    </row>
    <row r="134" spans="1:12" ht="15">
      <c r="A134" t="str">
        <f t="shared" ref="A134:A153" si="5">IF($G$1=1,B134,IF($G$1=2,D134,IF($G$1=3,E134,IF($G$1=4,C134,"zadat jazyk"))))</f>
        <v>1. Vyplnte prosím kontatkné údaje, taktiež môžete zadať svoju zákaznícku zľavu.Tieto údaje sa prenesú na jednotlivé listy.</v>
      </c>
      <c r="B134" s="284" t="s">
        <v>313</v>
      </c>
      <c r="C134" s="404" t="s">
        <v>339</v>
      </c>
      <c r="D134" s="284" t="s">
        <v>418</v>
      </c>
      <c r="E134" s="152" t="s">
        <v>442</v>
      </c>
      <c r="F134" s="1"/>
      <c r="G134" s="1"/>
      <c r="H134" s="1"/>
      <c r="I134" s="1"/>
      <c r="J134" s="1"/>
      <c r="K134" s="1"/>
      <c r="L134" s="1"/>
    </row>
    <row r="135" spans="1:12" ht="15">
      <c r="A135" t="str">
        <f t="shared" si="5"/>
        <v>2. Vyberte požadovaný typ úchytného profilu (kliknite na názov profilu pod obrázkom)</v>
      </c>
      <c r="B135" s="284" t="s">
        <v>314</v>
      </c>
      <c r="C135" s="404" t="s">
        <v>340</v>
      </c>
      <c r="D135" s="284" t="s">
        <v>419</v>
      </c>
      <c r="E135" s="152" t="s">
        <v>443</v>
      </c>
      <c r="F135" s="1"/>
      <c r="G135" s="1"/>
      <c r="H135" s="1"/>
      <c r="I135" s="1"/>
      <c r="J135" s="1"/>
      <c r="K135" s="1"/>
      <c r="L135" s="1"/>
    </row>
    <row r="136" spans="1:12" ht="15">
      <c r="A136" t="str">
        <f t="shared" si="5"/>
        <v>3. Na stránke so zostavou profilou vyplnte rozmer otvoru.</v>
      </c>
      <c r="B136" s="284" t="s">
        <v>315</v>
      </c>
      <c r="C136" s="404" t="s">
        <v>341</v>
      </c>
      <c r="D136" s="284" t="s">
        <v>420</v>
      </c>
      <c r="E136" s="152" t="s">
        <v>444</v>
      </c>
      <c r="F136" s="1"/>
      <c r="G136" s="1"/>
      <c r="H136" s="1"/>
      <c r="I136" s="1"/>
      <c r="J136" s="1"/>
      <c r="K136" s="1"/>
      <c r="L136" s="1"/>
    </row>
    <row r="137" spans="1:12" ht="15">
      <c r="A137" t="str">
        <f t="shared" si="5"/>
        <v>4. Vyplnte počet dverí, z ktorých sa bude zostava skladať</v>
      </c>
      <c r="B137" s="284" t="s">
        <v>316</v>
      </c>
      <c r="C137" s="404" t="s">
        <v>342</v>
      </c>
      <c r="D137" s="284" t="s">
        <v>421</v>
      </c>
      <c r="E137" s="152" t="s">
        <v>445</v>
      </c>
      <c r="F137" s="1"/>
      <c r="G137" s="1"/>
      <c r="H137" s="1"/>
      <c r="I137" s="1"/>
      <c r="J137" s="1"/>
      <c r="K137" s="1"/>
      <c r="L137" s="1"/>
    </row>
    <row r="138" spans="1:12" ht="15">
      <c r="A138" t="str">
        <f t="shared" si="5"/>
        <v>5. Vyberte požadovanú farbu profilu (kliknite na okienko so šipkou - rozbalí sa zoznam, tu vyberte farbu)</v>
      </c>
      <c r="B138" s="284" t="s">
        <v>317</v>
      </c>
      <c r="C138" s="404" t="s">
        <v>343</v>
      </c>
      <c r="D138" s="284" t="s">
        <v>422</v>
      </c>
      <c r="E138" s="152" t="s">
        <v>446</v>
      </c>
      <c r="F138" s="1"/>
      <c r="G138" s="1"/>
      <c r="H138" s="1"/>
      <c r="I138" s="1"/>
      <c r="J138" s="1"/>
      <c r="K138" s="1"/>
      <c r="L138" s="1"/>
    </row>
    <row r="139" spans="1:12" ht="15">
      <c r="A139" t="str">
        <f t="shared" si="5"/>
        <v>6. V prípade, že chcete dvere rozdeliť deliacími profilmi, doplnte v spodnej časti formuláru potrebný počet líšt</v>
      </c>
      <c r="B139" s="284" t="s">
        <v>318</v>
      </c>
      <c r="C139" s="404" t="s">
        <v>344</v>
      </c>
      <c r="D139" s="284" t="s">
        <v>423</v>
      </c>
      <c r="E139" s="152" t="s">
        <v>447</v>
      </c>
      <c r="F139" s="1"/>
      <c r="G139" s="1"/>
      <c r="H139" s="1"/>
      <c r="I139" s="1"/>
      <c r="J139" s="1"/>
      <c r="K139" s="1"/>
      <c r="L139" s="1"/>
    </row>
    <row r="140" spans="1:12" ht="15">
      <c r="A140" t="str">
        <f t="shared" si="5"/>
        <v>7. Pri použití skla alebo zrkadla je nutné použiť tesniaci profil. Vzhľadom k možnej kombinácií skla s doskami</v>
      </c>
      <c r="B140" s="284" t="s">
        <v>319</v>
      </c>
      <c r="C140" s="284" t="s">
        <v>345</v>
      </c>
      <c r="D140" s="284" t="s">
        <v>424</v>
      </c>
      <c r="E140" s="152" t="s">
        <v>448</v>
      </c>
      <c r="F140" s="1"/>
      <c r="G140" s="1"/>
      <c r="H140" s="1"/>
      <c r="I140" s="1"/>
      <c r="J140" s="1"/>
      <c r="K140" s="1"/>
      <c r="L140" s="1"/>
    </row>
    <row r="141" spans="1:12" ht="15">
      <c r="A141" t="str">
        <f t="shared" si="5"/>
        <v xml:space="preserve">    nie je možné určiť dĺžku tesnenia predom. V zostave je vypočítaná dĺžka tesnenia na jedno krídlo.</v>
      </c>
      <c r="B141" s="284" t="s">
        <v>320</v>
      </c>
      <c r="C141" s="284" t="s">
        <v>346</v>
      </c>
      <c r="D141" s="284" t="s">
        <v>425</v>
      </c>
      <c r="E141" s="152" t="s">
        <v>449</v>
      </c>
      <c r="F141" s="1"/>
      <c r="G141" s="1"/>
      <c r="H141" s="1"/>
      <c r="I141" s="1"/>
      <c r="J141" s="1"/>
      <c r="K141" s="1"/>
      <c r="L141" s="1"/>
    </row>
    <row r="142" spans="1:12" ht="15">
      <c r="A142" t="str">
        <f t="shared" si="5"/>
        <v xml:space="preserve">    Ďalej je spočítaná dĺžka v prípade, že celá zostava je zo skla / zrkadla</v>
      </c>
      <c r="B142" s="284" t="s">
        <v>321</v>
      </c>
      <c r="C142" t="s">
        <v>347</v>
      </c>
      <c r="D142" s="284" t="s">
        <v>426</v>
      </c>
      <c r="E142" s="152" t="s">
        <v>450</v>
      </c>
      <c r="F142" s="1"/>
      <c r="G142" s="1"/>
      <c r="H142" s="1"/>
      <c r="I142" s="1"/>
      <c r="J142" s="1"/>
      <c r="K142" s="1"/>
      <c r="L142" s="1"/>
    </row>
    <row r="143" spans="1:12" ht="15">
      <c r="A143" t="str">
        <f t="shared" si="5"/>
        <v>8. V prípade delenia úchytového profilu je kalkulovaná šírka rezu 5mm.</v>
      </c>
      <c r="B143" s="284" t="s">
        <v>1556</v>
      </c>
      <c r="C143" s="284" t="s">
        <v>1557</v>
      </c>
      <c r="D143" s="284" t="s">
        <v>1558</v>
      </c>
      <c r="E143" s="152" t="s">
        <v>1559</v>
      </c>
      <c r="F143" s="1"/>
      <c r="G143" s="1"/>
      <c r="H143" s="1"/>
      <c r="I143" s="1"/>
      <c r="J143" s="1"/>
      <c r="K143" s="1"/>
    </row>
    <row r="144" spans="1:12" ht="16">
      <c r="A144" t="str">
        <f t="shared" si="5"/>
        <v>Návod na použitie:</v>
      </c>
      <c r="B144" s="405" t="s">
        <v>312</v>
      </c>
      <c r="C144" s="405" t="s">
        <v>348</v>
      </c>
      <c r="D144" s="406" t="s">
        <v>417</v>
      </c>
      <c r="E144" s="152" t="s">
        <v>441</v>
      </c>
    </row>
    <row r="145" spans="1:5">
      <c r="A145" t="str">
        <f t="shared" si="5"/>
        <v>Vzorkovník fólií</v>
      </c>
      <c r="B145" s="141" t="s">
        <v>427</v>
      </c>
      <c r="C145" t="s">
        <v>237</v>
      </c>
      <c r="D145" t="s">
        <v>427</v>
      </c>
      <c r="E145" s="148" t="s">
        <v>451</v>
      </c>
    </row>
    <row r="146" spans="1:5">
      <c r="A146" t="str">
        <f t="shared" si="5"/>
        <v>okrem zelene označených dekorov sú fólie na objednávku</v>
      </c>
      <c r="B146" t="s">
        <v>1539</v>
      </c>
      <c r="C146" t="s">
        <v>1540</v>
      </c>
      <c r="D146" t="s">
        <v>561</v>
      </c>
      <c r="E146" s="148" t="s">
        <v>452</v>
      </c>
    </row>
    <row r="147" spans="1:5" ht="15">
      <c r="A147" t="str">
        <f t="shared" si="5"/>
        <v>Zobrazenie farieb a dekorov je orientačné a môže byť skreslené vplyvom nastavenia a farebného podania monitora apod.</v>
      </c>
      <c r="B147" t="s">
        <v>428</v>
      </c>
      <c r="C147" s="399" t="s">
        <v>239</v>
      </c>
      <c r="D147" t="s">
        <v>432</v>
      </c>
      <c r="E147" s="148" t="s">
        <v>453</v>
      </c>
    </row>
    <row r="148" spans="1:5" ht="16">
      <c r="A148" t="str">
        <f t="shared" si="5"/>
        <v>Na vyžiadanie môžeme zaslať fyzický vzorkovník 179111.</v>
      </c>
      <c r="B148" t="s">
        <v>760</v>
      </c>
      <c r="C148" s="399" t="s">
        <v>761</v>
      </c>
      <c r="D148" s="406" t="s">
        <v>762</v>
      </c>
      <c r="E148" s="148" t="s">
        <v>763</v>
      </c>
    </row>
    <row r="149" spans="1:5">
      <c r="A149" t="str">
        <f t="shared" si="5"/>
        <v>skladom</v>
      </c>
      <c r="B149" s="141" t="s">
        <v>429</v>
      </c>
      <c r="C149" s="407" t="s">
        <v>238</v>
      </c>
      <c r="D149" t="s">
        <v>430</v>
      </c>
      <c r="E149" s="148" t="s">
        <v>431</v>
      </c>
    </row>
    <row r="150" spans="1:5">
      <c r="A150" t="str">
        <f t="shared" si="5"/>
        <v>k tejto farbe nieje potrebný</v>
      </c>
      <c r="B150" s="141" t="s">
        <v>557</v>
      </c>
      <c r="C150" t="s">
        <v>559</v>
      </c>
      <c r="D150" t="s">
        <v>560</v>
      </c>
      <c r="E150" s="148" t="s">
        <v>558</v>
      </c>
    </row>
    <row r="151" spans="1:5">
      <c r="A151" t="str">
        <f t="shared" si="5"/>
        <v>NOVINKA</v>
      </c>
      <c r="B151" s="141" t="s">
        <v>564</v>
      </c>
      <c r="C151" t="s">
        <v>563</v>
      </c>
      <c r="D151" t="s">
        <v>564</v>
      </c>
      <c r="E151" s="148" t="s">
        <v>567</v>
      </c>
    </row>
    <row r="152" spans="1:5">
      <c r="A152" t="str">
        <f t="shared" si="5"/>
        <v>NOVINKA, len na objednávku</v>
      </c>
      <c r="B152" s="141" t="s">
        <v>565</v>
      </c>
      <c r="C152" t="s">
        <v>562</v>
      </c>
      <c r="D152" s="141" t="s">
        <v>566</v>
      </c>
      <c r="E152" s="148" t="s">
        <v>568</v>
      </c>
    </row>
    <row r="153" spans="1:5" ht="15">
      <c r="A153" t="str">
        <f t="shared" si="5"/>
        <v>Spracované na základe údajov dodaných výrobcom, chyby vyhradené, zvlášť v prípade hromadnej výroby odporúčame najprv výrobu skúšobného prototypu</v>
      </c>
      <c r="B153" s="141" t="s">
        <v>572</v>
      </c>
      <c r="C153" s="408" t="s">
        <v>780</v>
      </c>
      <c r="D153" t="s">
        <v>573</v>
      </c>
      <c r="E153" s="148" t="s">
        <v>574</v>
      </c>
    </row>
    <row r="154" spans="1:5">
      <c r="A154" t="s">
        <v>433</v>
      </c>
    </row>
    <row r="155" spans="1:5" ht="15">
      <c r="B155" s="141" t="s">
        <v>434</v>
      </c>
      <c r="C155" t="s">
        <v>438</v>
      </c>
      <c r="D155" t="s">
        <v>569</v>
      </c>
      <c r="E155" s="399" t="s">
        <v>537</v>
      </c>
    </row>
    <row r="156" spans="1:5" ht="15">
      <c r="B156" s="141" t="s">
        <v>436</v>
      </c>
      <c r="C156" t="s">
        <v>435</v>
      </c>
      <c r="D156" t="s">
        <v>570</v>
      </c>
      <c r="E156" s="399" t="s">
        <v>538</v>
      </c>
    </row>
    <row r="157" spans="1:5" ht="15">
      <c r="B157" s="141" t="s">
        <v>440</v>
      </c>
      <c r="C157" t="s">
        <v>439</v>
      </c>
      <c r="D157" t="s">
        <v>571</v>
      </c>
      <c r="E157" s="399" t="s">
        <v>539</v>
      </c>
    </row>
    <row r="159" spans="1:5" ht="16">
      <c r="A159" t="str">
        <f t="shared" ref="A159:A190" si="6">IF($G$1=1,B159,IF($G$1=2,D159,IF($G$1=3,E159,IF($G$1=4,C159,"zadat jazyk"))))</f>
        <v>dopredaj</v>
      </c>
      <c r="B159" s="141" t="s">
        <v>437</v>
      </c>
      <c r="C159" s="403" t="s">
        <v>337</v>
      </c>
      <c r="D159" s="409" t="s">
        <v>1212</v>
      </c>
      <c r="E159" s="399" t="s">
        <v>535</v>
      </c>
    </row>
    <row r="160" spans="1:5">
      <c r="A160">
        <f t="shared" si="6"/>
        <v>100</v>
      </c>
      <c r="B160" s="141">
        <v>2500</v>
      </c>
      <c r="C160">
        <v>25000</v>
      </c>
      <c r="D160">
        <v>100</v>
      </c>
      <c r="E160" s="148">
        <v>2500</v>
      </c>
    </row>
    <row r="161" spans="1:5" ht="16">
      <c r="A161" t="str">
        <f t="shared" si="6"/>
        <v xml:space="preserve">Ak navýšite objednávku o </v>
      </c>
      <c r="B161" s="141" t="s">
        <v>575</v>
      </c>
      <c r="C161" s="399" t="s">
        <v>579</v>
      </c>
      <c r="D161" t="s">
        <v>726</v>
      </c>
      <c r="E161" s="410" t="s">
        <v>577</v>
      </c>
    </row>
    <row r="162" spans="1:5" ht="16">
      <c r="A162" t="str">
        <f t="shared" si="6"/>
        <v xml:space="preserve"> dostanete</v>
      </c>
      <c r="B162" s="141" t="s">
        <v>576</v>
      </c>
      <c r="C162" s="399" t="s">
        <v>580</v>
      </c>
      <c r="D162" t="s">
        <v>727</v>
      </c>
      <c r="E162" s="410" t="s">
        <v>578</v>
      </c>
    </row>
    <row r="163" spans="1:5" ht="16">
      <c r="A163" t="str">
        <f t="shared" si="6"/>
        <v>tlmič zadarmo</v>
      </c>
      <c r="B163" s="141" t="s">
        <v>582</v>
      </c>
      <c r="C163" s="399" t="s">
        <v>581</v>
      </c>
      <c r="D163" t="s">
        <v>584</v>
      </c>
      <c r="E163" s="410" t="s">
        <v>583</v>
      </c>
    </row>
    <row r="164" spans="1:5" ht="16">
      <c r="A164" t="str">
        <f t="shared" si="6"/>
        <v>skladom sety pre 2 a 3 krídla pre dĺžky 1,8 m (2kř.), 2,5 m (3 kr.) a 2,7 m (2 kr.)</v>
      </c>
      <c r="B164" s="408" t="s">
        <v>586</v>
      </c>
      <c r="C164" s="411" t="s">
        <v>596</v>
      </c>
      <c r="D164" s="409" t="s">
        <v>1211</v>
      </c>
      <c r="E164" t="s">
        <v>587</v>
      </c>
    </row>
    <row r="165" spans="1:5" ht="15">
      <c r="A165" t="str">
        <f t="shared" si="6"/>
        <v>inovovaný profil</v>
      </c>
      <c r="B165" s="399" t="s">
        <v>588</v>
      </c>
      <c r="C165" s="399" t="s">
        <v>597</v>
      </c>
      <c r="D165" t="s">
        <v>588</v>
      </c>
      <c r="E165" t="s">
        <v>592</v>
      </c>
    </row>
    <row r="166" spans="1:5" ht="15">
      <c r="A166" t="str">
        <f t="shared" si="6"/>
        <v>nasúvacia kefka</v>
      </c>
      <c r="B166" s="399" t="s">
        <v>589</v>
      </c>
      <c r="C166" s="399" t="s">
        <v>598</v>
      </c>
      <c r="D166" t="s">
        <v>601</v>
      </c>
      <c r="E166" s="412" t="s">
        <v>593</v>
      </c>
    </row>
    <row r="167" spans="1:5" ht="15">
      <c r="A167" t="str">
        <f t="shared" si="6"/>
        <v>novo skladom</v>
      </c>
      <c r="B167" s="399" t="s">
        <v>590</v>
      </c>
      <c r="C167" s="399" t="s">
        <v>599</v>
      </c>
      <c r="D167" t="s">
        <v>602</v>
      </c>
      <c r="E167" s="412" t="s">
        <v>594</v>
      </c>
    </row>
    <row r="168" spans="1:5" ht="15">
      <c r="A168" t="str">
        <f t="shared" si="6"/>
        <v>niekroté položky možu byť na objednávku</v>
      </c>
      <c r="B168" s="399" t="s">
        <v>591</v>
      </c>
      <c r="C168" s="399" t="s">
        <v>600</v>
      </c>
      <c r="D168" t="s">
        <v>768</v>
      </c>
      <c r="E168" s="399" t="s">
        <v>595</v>
      </c>
    </row>
    <row r="169" spans="1:5">
      <c r="A169" t="str">
        <f t="shared" si="6"/>
        <v>spojovací profil H18 MAXIM 1,8m</v>
      </c>
      <c r="B169" s="7" t="s">
        <v>603</v>
      </c>
      <c r="C169" s="400" t="s">
        <v>604</v>
      </c>
      <c r="D169" t="s">
        <v>605</v>
      </c>
      <c r="E169" s="149" t="s">
        <v>606</v>
      </c>
    </row>
    <row r="170" spans="1:5">
      <c r="A170" t="str">
        <f t="shared" si="6"/>
        <v>spojovací profil H18 MAXIM 2,5m</v>
      </c>
      <c r="B170" s="7" t="s">
        <v>607</v>
      </c>
      <c r="C170" s="400" t="s">
        <v>608</v>
      </c>
      <c r="D170" t="s">
        <v>609</v>
      </c>
      <c r="E170" s="149" t="s">
        <v>610</v>
      </c>
    </row>
    <row r="171" spans="1:5">
      <c r="A171" t="str">
        <f t="shared" si="6"/>
        <v>spojovací profil H25 MAXIM 1,8m</v>
      </c>
      <c r="B171" s="7" t="s">
        <v>611</v>
      </c>
      <c r="C171" s="400" t="s">
        <v>612</v>
      </c>
      <c r="D171" t="s">
        <v>613</v>
      </c>
      <c r="E171" s="149" t="s">
        <v>614</v>
      </c>
    </row>
    <row r="172" spans="1:5">
      <c r="A172" t="str">
        <f t="shared" si="6"/>
        <v>spojovací profil H25 MAXIM 2,5m</v>
      </c>
      <c r="B172" s="7" t="s">
        <v>615</v>
      </c>
      <c r="C172" s="400" t="s">
        <v>616</v>
      </c>
      <c r="D172" t="s">
        <v>617</v>
      </c>
      <c r="E172" s="149" t="s">
        <v>618</v>
      </c>
    </row>
    <row r="173" spans="1:5" ht="13">
      <c r="A173" t="str">
        <f t="shared" si="6"/>
        <v> Doporučujeme dokúpiť ešte</v>
      </c>
      <c r="B173" s="141" t="s">
        <v>696</v>
      </c>
      <c r="C173" s="400" t="s">
        <v>1488</v>
      </c>
      <c r="D173" t="s">
        <v>1541</v>
      </c>
      <c r="E173" s="412" t="s">
        <v>1503</v>
      </c>
    </row>
    <row r="174" spans="1:5" ht="13">
      <c r="A174" t="str">
        <f t="shared" si="6"/>
        <v> ks tlmiče, aby bola zostava kompletná</v>
      </c>
      <c r="B174" s="141" t="s">
        <v>697</v>
      </c>
      <c r="C174" s="400" t="s">
        <v>1489</v>
      </c>
      <c r="D174" t="s">
        <v>1542</v>
      </c>
      <c r="E174" s="412" t="s">
        <v>1504</v>
      </c>
    </row>
    <row r="175" spans="1:5">
      <c r="A175" t="str">
        <f t="shared" si="6"/>
        <v>TLMIČ POSUVNÝCH DV. SEVROLL - AKCIA (11027)</v>
      </c>
      <c r="B175" s="141" t="s">
        <v>719</v>
      </c>
      <c r="C175" s="400" t="s">
        <v>720</v>
      </c>
      <c r="D175" t="s">
        <v>718</v>
      </c>
      <c r="E175" s="148" t="s">
        <v>721</v>
      </c>
    </row>
    <row r="176" spans="1:5" ht="15">
      <c r="A176" t="str">
        <f t="shared" si="6"/>
        <v>Odpočet výšky pri montaži tlmiča 11027</v>
      </c>
      <c r="B176" s="141" t="s">
        <v>722</v>
      </c>
      <c r="C176" s="408" t="s">
        <v>774</v>
      </c>
      <c r="D176" s="141" t="s">
        <v>723</v>
      </c>
    </row>
    <row r="177" spans="1:5" ht="15">
      <c r="A177" t="str">
        <f t="shared" si="6"/>
        <v>(pre všetky parametry)</v>
      </c>
      <c r="B177" s="141" t="s">
        <v>724</v>
      </c>
      <c r="C177" s="408" t="s">
        <v>775</v>
      </c>
      <c r="D177" t="s">
        <v>725</v>
      </c>
    </row>
    <row r="178" spans="1:5" ht="15">
      <c r="A178" t="str">
        <f t="shared" si="6"/>
        <v>Maximálna dlžka vedenia je 3,6 m</v>
      </c>
      <c r="B178" s="141" t="s">
        <v>730</v>
      </c>
      <c r="C178" s="408" t="s">
        <v>776</v>
      </c>
      <c r="D178" s="141" t="s">
        <v>731</v>
      </c>
    </row>
    <row r="179" spans="1:5" ht="15">
      <c r="A179" t="str">
        <f t="shared" si="6"/>
        <v>skrutka k spodnémi vedeniu</v>
      </c>
      <c r="B179" s="141" t="s">
        <v>738</v>
      </c>
      <c r="C179" s="408" t="s">
        <v>777</v>
      </c>
      <c r="D179" t="s">
        <v>739</v>
      </c>
      <c r="E179" s="148" t="s">
        <v>1213</v>
      </c>
    </row>
    <row r="180" spans="1:5">
      <c r="A180" t="str">
        <f t="shared" si="6"/>
        <v>uholník  11x17mm - 1,7m</v>
      </c>
      <c r="B180" s="7" t="s">
        <v>1250</v>
      </c>
      <c r="C180" s="400" t="s">
        <v>1253</v>
      </c>
      <c r="D180" t="s">
        <v>1256</v>
      </c>
      <c r="E180" s="149" t="s">
        <v>1259</v>
      </c>
    </row>
    <row r="181" spans="1:5">
      <c r="A181" t="str">
        <f t="shared" si="6"/>
        <v>uholník  11x17mm - 2,35m</v>
      </c>
      <c r="B181" s="401" t="s">
        <v>1251</v>
      </c>
      <c r="C181" s="400" t="s">
        <v>1254</v>
      </c>
      <c r="D181" t="s">
        <v>1257</v>
      </c>
      <c r="E181" s="149" t="s">
        <v>1260</v>
      </c>
    </row>
    <row r="182" spans="1:5">
      <c r="A182" t="str">
        <f t="shared" si="6"/>
        <v>uholník  11x17mm - 3,0m</v>
      </c>
      <c r="B182" s="73" t="s">
        <v>1252</v>
      </c>
      <c r="C182" s="400" t="s">
        <v>1255</v>
      </c>
      <c r="D182" t="s">
        <v>1258</v>
      </c>
      <c r="E182" s="149" t="s">
        <v>1261</v>
      </c>
    </row>
    <row r="183" spans="1:5">
      <c r="A183" t="str">
        <f t="shared" si="6"/>
        <v>uholník  20x26mm - 1,8m</v>
      </c>
      <c r="B183" s="7" t="s">
        <v>1238</v>
      </c>
      <c r="C183" s="400" t="s">
        <v>1241</v>
      </c>
      <c r="D183" t="s">
        <v>1244</v>
      </c>
      <c r="E183" s="149" t="s">
        <v>1247</v>
      </c>
    </row>
    <row r="184" spans="1:5">
      <c r="A184" t="str">
        <f t="shared" si="6"/>
        <v>uholník  20x26mm - 2,7m</v>
      </c>
      <c r="B184" s="401" t="s">
        <v>1239</v>
      </c>
      <c r="C184" s="400" t="s">
        <v>1242</v>
      </c>
      <c r="D184" t="s">
        <v>1245</v>
      </c>
      <c r="E184" s="149" t="s">
        <v>1248</v>
      </c>
    </row>
    <row r="185" spans="1:5">
      <c r="A185" t="str">
        <f t="shared" si="6"/>
        <v>uholník  20x26mm - 3,6m</v>
      </c>
      <c r="B185" s="73" t="s">
        <v>1240</v>
      </c>
      <c r="C185" s="400" t="s">
        <v>1243</v>
      </c>
      <c r="D185" t="s">
        <v>1246</v>
      </c>
      <c r="E185" s="149" t="s">
        <v>1249</v>
      </c>
    </row>
    <row r="186" spans="1:5">
      <c r="A186" t="str">
        <f t="shared" si="6"/>
        <v>spojovací profil H - 3metre</v>
      </c>
      <c r="B186" s="7" t="s">
        <v>740</v>
      </c>
      <c r="C186" s="400" t="s">
        <v>741</v>
      </c>
      <c r="D186" t="s">
        <v>742</v>
      </c>
      <c r="E186" s="149" t="s">
        <v>743</v>
      </c>
    </row>
    <row r="187" spans="1:5">
      <c r="A187" t="str">
        <f t="shared" si="6"/>
        <v>kart. čierna</v>
      </c>
      <c r="B187" s="141" t="s">
        <v>744</v>
      </c>
      <c r="C187" t="s">
        <v>747</v>
      </c>
      <c r="D187" t="s">
        <v>748</v>
      </c>
      <c r="E187" s="148" t="s">
        <v>746</v>
      </c>
    </row>
    <row r="188" spans="1:5">
      <c r="A188" t="str">
        <f t="shared" si="6"/>
        <v>kart. tm. oliva</v>
      </c>
      <c r="B188" s="141" t="s">
        <v>745</v>
      </c>
      <c r="C188" t="s">
        <v>751</v>
      </c>
      <c r="D188" t="s">
        <v>749</v>
      </c>
      <c r="E188" s="148" t="s">
        <v>750</v>
      </c>
    </row>
    <row r="189" spans="1:5">
      <c r="A189" t="str">
        <f t="shared" si="6"/>
        <v>spojovací profil H25 2,7m</v>
      </c>
      <c r="B189" s="7" t="s">
        <v>752</v>
      </c>
      <c r="C189" s="400" t="s">
        <v>753</v>
      </c>
      <c r="D189" t="s">
        <v>755</v>
      </c>
      <c r="E189" s="149" t="s">
        <v>754</v>
      </c>
    </row>
    <row r="190" spans="1:5" ht="15">
      <c r="A190" t="str">
        <f t="shared" si="6"/>
        <v>Ďalšie príslušenstvo</v>
      </c>
      <c r="B190" s="141" t="s">
        <v>765</v>
      </c>
      <c r="C190" s="408" t="s">
        <v>1288</v>
      </c>
      <c r="D190" t="s">
        <v>764</v>
      </c>
      <c r="E190" s="148" t="s">
        <v>759</v>
      </c>
    </row>
    <row r="191" spans="1:5" ht="15">
      <c r="A191" t="str">
        <f t="shared" ref="A191:A222" si="7">IF($G$1=1,B191,IF($G$1=2,D191,IF($G$1=3,E191,IF($G$1=4,C191,"zadat jazyk"))))</f>
        <v>Akcia - tlmič zdarma</v>
      </c>
      <c r="B191" s="141" t="s">
        <v>769</v>
      </c>
      <c r="C191" s="408" t="s">
        <v>778</v>
      </c>
      <c r="D191" t="s">
        <v>770</v>
      </c>
    </row>
    <row r="192" spans="1:5" ht="15">
      <c r="A192" t="str">
        <f t="shared" si="7"/>
        <v>1 ks pre lamino 18mm, týká se úch. profilov  Alfa, Tytan, Oaza, Victoria, Factor, Focus, Universal, Ergo, tlmič kód 11027,akcia platí do vypredania zásob</v>
      </c>
      <c r="B192" s="141" t="s">
        <v>771</v>
      </c>
      <c r="C192" s="408" t="s">
        <v>779</v>
      </c>
      <c r="D192" t="s">
        <v>772</v>
      </c>
    </row>
    <row r="193" spans="1:5" ht="16">
      <c r="A193" t="str">
        <f t="shared" si="7"/>
        <v>Späť na úvodnú stránku</v>
      </c>
      <c r="B193" s="141" t="s">
        <v>758</v>
      </c>
      <c r="C193" t="s">
        <v>1207</v>
      </c>
      <c r="D193" t="s">
        <v>773</v>
      </c>
      <c r="E193" s="409" t="s">
        <v>1214</v>
      </c>
    </row>
    <row r="194" spans="1:5" ht="15">
      <c r="A194" t="str">
        <f t="shared" si="7"/>
        <v>Max. veľkosť krídla so zrkadlom je 2400x700mm</v>
      </c>
      <c r="B194" s="141" t="s">
        <v>781</v>
      </c>
      <c r="C194" s="408" t="s">
        <v>784</v>
      </c>
      <c r="D194" t="s">
        <v>782</v>
      </c>
      <c r="E194" s="148" t="s">
        <v>783</v>
      </c>
    </row>
    <row r="195" spans="1:5">
      <c r="A195" t="str">
        <f t="shared" si="7"/>
        <v>Jednoduché vedenie pre systémy:</v>
      </c>
      <c r="B195" s="141" t="s">
        <v>786</v>
      </c>
      <c r="C195" t="s">
        <v>787</v>
      </c>
      <c r="D195" t="s">
        <v>789</v>
      </c>
      <c r="E195" s="148" t="s">
        <v>788</v>
      </c>
    </row>
    <row r="196" spans="1:5">
      <c r="A196" t="str">
        <f t="shared" si="7"/>
        <v>Spona dorazovej kefky</v>
      </c>
      <c r="B196" s="141" t="s">
        <v>815</v>
      </c>
      <c r="C196" t="s">
        <v>816</v>
      </c>
      <c r="D196" t="s">
        <v>817</v>
      </c>
      <c r="E196" s="148" t="s">
        <v>818</v>
      </c>
    </row>
    <row r="197" spans="1:5" ht="15">
      <c r="A197" t="str">
        <f t="shared" si="7"/>
        <v>Možnosť dodania kompletných sád profilov + kovania:</v>
      </c>
      <c r="B197" s="141" t="s">
        <v>819</v>
      </c>
      <c r="C197" s="408" t="s">
        <v>1056</v>
      </c>
      <c r="D197" t="s">
        <v>1210</v>
      </c>
      <c r="E197" s="148" t="s">
        <v>1208</v>
      </c>
    </row>
    <row r="198" spans="1:5" ht="15">
      <c r="A198" t="str">
        <f t="shared" si="7"/>
        <v>sada 2 krídla, šírka 1,8m (profily 182716 + kovanie 98054)</v>
      </c>
      <c r="B198" s="141" t="s">
        <v>820</v>
      </c>
      <c r="C198" s="408" t="s">
        <v>1057</v>
      </c>
      <c r="D198" t="s">
        <v>1203</v>
      </c>
      <c r="E198" s="148" t="s">
        <v>1205</v>
      </c>
    </row>
    <row r="199" spans="1:5" ht="15">
      <c r="A199" t="str">
        <f t="shared" si="7"/>
        <v>sada 3 krídla, šírka 2,5m (profily 188479 + kovanie 100968)</v>
      </c>
      <c r="B199" s="141" t="s">
        <v>821</v>
      </c>
      <c r="C199" s="408" t="s">
        <v>1058</v>
      </c>
      <c r="D199" t="s">
        <v>1204</v>
      </c>
      <c r="E199" s="148" t="s">
        <v>1206</v>
      </c>
    </row>
    <row r="200" spans="1:5" ht="15">
      <c r="A200" t="str">
        <f t="shared" si="7"/>
        <v xml:space="preserve">Objednané položky sád nie sú rovnaké odpovedajúce
</v>
      </c>
      <c r="B200" s="141" t="s">
        <v>822</v>
      </c>
      <c r="C200" s="408" t="s">
        <v>1490</v>
      </c>
      <c r="D200" t="s">
        <v>1485</v>
      </c>
      <c r="E200" t="s">
        <v>1505</v>
      </c>
    </row>
    <row r="201" spans="1:5" ht="15">
      <c r="A201" t="str">
        <f t="shared" si="7"/>
        <v>kart. čierna</v>
      </c>
      <c r="B201" s="141" t="s">
        <v>831</v>
      </c>
      <c r="C201" s="408" t="s">
        <v>747</v>
      </c>
      <c r="D201" t="s">
        <v>748</v>
      </c>
      <c r="E201" s="148" t="s">
        <v>746</v>
      </c>
    </row>
    <row r="202" spans="1:5">
      <c r="A202" t="str">
        <f t="shared" si="7"/>
        <v>kart. tm. oliva</v>
      </c>
      <c r="B202" s="141" t="s">
        <v>745</v>
      </c>
      <c r="C202" t="s">
        <v>751</v>
      </c>
      <c r="D202" t="s">
        <v>749</v>
      </c>
      <c r="E202" s="148" t="s">
        <v>750</v>
      </c>
    </row>
    <row r="203" spans="1:5">
      <c r="A203" t="str">
        <f t="shared" si="7"/>
        <v>spojovací H profil Simple 10</v>
      </c>
      <c r="B203" s="7" t="s">
        <v>1035</v>
      </c>
      <c r="C203" s="400" t="s">
        <v>1036</v>
      </c>
      <c r="D203" t="s">
        <v>1035</v>
      </c>
      <c r="E203" s="149" t="s">
        <v>1037</v>
      </c>
    </row>
    <row r="204" spans="1:5">
      <c r="A204" t="str">
        <f t="shared" si="7"/>
        <v>spojovací H25 profil Simple (18mm)</v>
      </c>
      <c r="B204" s="7" t="s">
        <v>1046</v>
      </c>
      <c r="C204" s="400" t="s">
        <v>1045</v>
      </c>
      <c r="D204" t="s">
        <v>1046</v>
      </c>
      <c r="E204" s="149" t="s">
        <v>1047</v>
      </c>
    </row>
    <row r="205" spans="1:5">
      <c r="A205" t="str">
        <f t="shared" si="7"/>
        <v>spojovací H31 profil Simple (18mm)</v>
      </c>
      <c r="B205" s="7" t="s">
        <v>1048</v>
      </c>
      <c r="C205" t="s">
        <v>1049</v>
      </c>
      <c r="D205" t="s">
        <v>1048</v>
      </c>
      <c r="E205" s="149" t="s">
        <v>1050</v>
      </c>
    </row>
    <row r="206" spans="1:5">
      <c r="A206" t="str">
        <f t="shared" si="7"/>
        <v xml:space="preserve">Upevňovacie kliny Blue 40ks (sklo 4 mm) </v>
      </c>
      <c r="B206" s="141" t="s">
        <v>2965</v>
      </c>
      <c r="C206" t="s">
        <v>2966</v>
      </c>
      <c r="D206" t="s">
        <v>2967</v>
      </c>
      <c r="E206" s="148" t="s">
        <v>1555</v>
      </c>
    </row>
    <row r="207" spans="1:5" ht="13">
      <c r="A207" t="str">
        <f t="shared" si="7"/>
        <v>Systém Blue</v>
      </c>
      <c r="B207" s="141" t="s">
        <v>1553</v>
      </c>
      <c r="C207" t="s">
        <v>1555</v>
      </c>
      <c r="D207" t="s">
        <v>1553</v>
      </c>
      <c r="E207" t="s">
        <v>1554</v>
      </c>
    </row>
    <row r="208" spans="1:5">
      <c r="A208" t="str">
        <f t="shared" si="7"/>
        <v>10. Do poľa poznámka môžete doplniť prípadné zmeny, pripomienky apod.</v>
      </c>
      <c r="B208" s="141" t="s">
        <v>1029</v>
      </c>
      <c r="C208" t="s">
        <v>1209</v>
      </c>
      <c r="D208" t="s">
        <v>1030</v>
      </c>
      <c r="E208" s="148" t="s">
        <v>1031</v>
      </c>
    </row>
    <row r="209" spans="1:5">
      <c r="A209" t="str">
        <f t="shared" si="7"/>
        <v xml:space="preserve"> zásuvný protiprachový kartáč</v>
      </c>
      <c r="B209" s="141" t="s">
        <v>1042</v>
      </c>
      <c r="C209" t="s">
        <v>1041</v>
      </c>
      <c r="D209" t="s">
        <v>1043</v>
      </c>
      <c r="E209" s="149" t="s">
        <v>1044</v>
      </c>
    </row>
    <row r="210" spans="1:5" ht="15">
      <c r="A210" t="str">
        <f t="shared" si="7"/>
        <v>záslepko spodného vedenia</v>
      </c>
      <c r="B210" s="141" t="s">
        <v>1051</v>
      </c>
      <c r="C210" s="408" t="s">
        <v>1054</v>
      </c>
      <c r="D210" t="s">
        <v>1055</v>
      </c>
      <c r="E210" s="148" t="s">
        <v>1053</v>
      </c>
    </row>
    <row r="211" spans="1:5" ht="15">
      <c r="A211" t="str">
        <f t="shared" si="7"/>
        <v>Pri dvoch prekrytiach môžete pre výpočet rozmerov krídel využiť zadanie polovičnej šírky a 2 krídel</v>
      </c>
      <c r="B211" s="141" t="s">
        <v>1175</v>
      </c>
      <c r="C211" s="399" t="s">
        <v>1199</v>
      </c>
      <c r="D211" t="s">
        <v>1177</v>
      </c>
      <c r="E211" s="408" t="s">
        <v>1201</v>
      </c>
    </row>
    <row r="212" spans="1:5" ht="15">
      <c r="A212" t="str">
        <f t="shared" si="7"/>
        <v>Krídla pri zvolenej konfigurácií sú úzke a vysoké, zvlášť pri použití tlmiča môže dochádzať k nadskakovaniu krídla.</v>
      </c>
      <c r="B212" s="141" t="s">
        <v>1174</v>
      </c>
      <c r="C212" s="408" t="s">
        <v>1200</v>
      </c>
      <c r="D212" t="s">
        <v>1176</v>
      </c>
      <c r="E212" s="408" t="s">
        <v>1202</v>
      </c>
    </row>
    <row r="213" spans="1:5">
      <c r="A213" t="str">
        <f t="shared" si="7"/>
        <v>OCHRANNÉ FÓLIE NA SKLENENÉ VÝPLNE</v>
      </c>
      <c r="B213" s="141" t="s">
        <v>1195</v>
      </c>
      <c r="C213" t="s">
        <v>1198</v>
      </c>
      <c r="D213" t="s">
        <v>1196</v>
      </c>
      <c r="E213" s="148" t="s">
        <v>1197</v>
      </c>
    </row>
    <row r="214" spans="1:5" ht="16">
      <c r="A214" t="str">
        <f t="shared" si="7"/>
        <v>některé položky sú na objednávku, počítajte prosím s dodaciou  lehotou  do 5 týždnov</v>
      </c>
      <c r="B214" s="141" t="s">
        <v>2934</v>
      </c>
      <c r="C214" s="409" t="s">
        <v>2935</v>
      </c>
      <c r="D214" t="s">
        <v>2936</v>
      </c>
      <c r="E214" s="148" t="s">
        <v>2937</v>
      </c>
    </row>
    <row r="215" spans="1:5" ht="16">
      <c r="A215">
        <f t="shared" si="7"/>
        <v>0</v>
      </c>
      <c r="B215" t="s">
        <v>1484</v>
      </c>
      <c r="C215" s="409"/>
    </row>
    <row r="216" spans="1:5">
      <c r="A216" t="str">
        <f t="shared" si="7"/>
        <v>LAKOVANIE PROFILOV</v>
      </c>
      <c r="B216" s="141" t="s">
        <v>1222</v>
      </c>
      <c r="C216" t="s">
        <v>1224</v>
      </c>
      <c r="D216" t="s">
        <v>1223</v>
      </c>
      <c r="E216" s="148" t="s">
        <v>1225</v>
      </c>
    </row>
    <row r="217" spans="1:5">
      <c r="A217" t="str">
        <f t="shared" si="7"/>
        <v>možnosť nalakovať do akéhokoľvek odtieňa RAL</v>
      </c>
      <c r="B217" s="141" t="s">
        <v>1226</v>
      </c>
      <c r="C217" t="s">
        <v>1229</v>
      </c>
      <c r="D217" t="s">
        <v>1232</v>
      </c>
      <c r="E217" s="148" t="s">
        <v>1235</v>
      </c>
    </row>
    <row r="218" spans="1:5">
      <c r="A218" t="str">
        <f t="shared" si="7"/>
        <v> voľba lesk / mat (pri objednávke je nutná špecifikácia)</v>
      </c>
      <c r="B218" s="141" t="s">
        <v>1227</v>
      </c>
      <c r="C218" t="s">
        <v>1230</v>
      </c>
      <c r="D218" t="s">
        <v>1233</v>
      </c>
      <c r="E218" s="148" t="s">
        <v>1236</v>
      </c>
    </row>
    <row r="219" spans="1:5">
      <c r="A219" t="str">
        <f t="shared" si="7"/>
        <v>obmedzenie na max dĺžku 3,85m</v>
      </c>
      <c r="B219" s="141" t="s">
        <v>1228</v>
      </c>
      <c r="C219" t="s">
        <v>1231</v>
      </c>
      <c r="D219" t="s">
        <v>1234</v>
      </c>
      <c r="E219" s="148" t="s">
        <v>1237</v>
      </c>
    </row>
    <row r="220" spans="1:5" ht="15">
      <c r="A220" t="str">
        <f t="shared" si="7"/>
        <v>Blue 18 mm (bezrámovo)</v>
      </c>
      <c r="B220" s="141" t="s">
        <v>1561</v>
      </c>
      <c r="C220" t="s">
        <v>1563</v>
      </c>
      <c r="D220" t="s">
        <v>1565</v>
      </c>
      <c r="E220" s="399" t="s">
        <v>1566</v>
      </c>
    </row>
    <row r="221" spans="1:5" ht="13">
      <c r="A221" t="str">
        <f t="shared" si="7"/>
        <v>Blue 18 mm (rámový)</v>
      </c>
      <c r="B221" s="141" t="s">
        <v>1562</v>
      </c>
      <c r="C221" t="s">
        <v>1564</v>
      </c>
      <c r="D221" t="s">
        <v>1562</v>
      </c>
      <c r="E221" s="412" t="s">
        <v>1567</v>
      </c>
    </row>
    <row r="222" spans="1:5" ht="13">
      <c r="A222" t="str">
        <f t="shared" si="7"/>
        <v> Systém Comfort</v>
      </c>
      <c r="B222" s="141" t="s">
        <v>1474</v>
      </c>
      <c r="C222" t="s">
        <v>1491</v>
      </c>
      <c r="D222" t="s">
        <v>1543</v>
      </c>
      <c r="E222" s="412" t="s">
        <v>1506</v>
      </c>
    </row>
    <row r="223" spans="1:5" ht="16">
      <c r="A223" t="str">
        <f t="shared" ref="A223:A246" si="8">IF($G$1=1,B223,IF($G$1=2,D223,IF($G$1=3,E223,IF($G$1=4,C223,"zadat jazyk"))))</f>
        <v>Montážne inštrukcie</v>
      </c>
      <c r="B223" s="141" t="s">
        <v>1268</v>
      </c>
      <c r="C223" t="s">
        <v>1271</v>
      </c>
      <c r="D223" t="s">
        <v>1269</v>
      </c>
      <c r="E223" s="409" t="s">
        <v>1270</v>
      </c>
    </row>
    <row r="224" spans="1:5" ht="13">
      <c r="A224" t="str">
        <f t="shared" si="8"/>
        <v>http://www.demos24plus.com/_Catalogs/sk/Kovani2014/index.html#488</v>
      </c>
      <c r="B224" s="141" t="s">
        <v>1272</v>
      </c>
      <c r="C224" s="413" t="s">
        <v>1273</v>
      </c>
      <c r="D224" s="413" t="s">
        <v>1274</v>
      </c>
      <c r="E224" s="390" t="s">
        <v>1275</v>
      </c>
    </row>
    <row r="225" spans="1:5" ht="13">
      <c r="A225" t="str">
        <f t="shared" si="8"/>
        <v>http://www.demos24plus.com/_Catalogs/sk/Kovani2014/index.html#484</v>
      </c>
      <c r="B225" s="141" t="s">
        <v>1276</v>
      </c>
      <c r="C225" s="413" t="s">
        <v>1277</v>
      </c>
      <c r="D225" s="413" t="s">
        <v>1278</v>
      </c>
      <c r="E225" s="390" t="s">
        <v>1279</v>
      </c>
    </row>
    <row r="226" spans="1:5" ht="13">
      <c r="A226" t="str">
        <f t="shared" si="8"/>
        <v>http://www.demos24plus.com/_Catalogs/sk/Kovani2014/index.html#472</v>
      </c>
      <c r="B226" s="414" t="s">
        <v>1280</v>
      </c>
      <c r="C226" s="413" t="s">
        <v>1281</v>
      </c>
      <c r="D226" s="413" t="s">
        <v>1282</v>
      </c>
      <c r="E226" s="390" t="s">
        <v>1283</v>
      </c>
    </row>
    <row r="227" spans="1:5" ht="13">
      <c r="A227" t="str">
        <f t="shared" si="8"/>
        <v> Zvolili ste 4 krídla, zvoľte počet preložení (2 alebo 3)</v>
      </c>
      <c r="B227" s="141" t="s">
        <v>1448</v>
      </c>
      <c r="C227" t="s">
        <v>1500</v>
      </c>
      <c r="D227" t="s">
        <v>1544</v>
      </c>
      <c r="E227" s="412" t="s">
        <v>1507</v>
      </c>
    </row>
    <row r="228" spans="1:5" ht="13">
      <c r="A228" t="str">
        <f>IF($G$1=1,B228,IF($G$1=2,D228,IF($G$1=3,E228,IF($G$1=4,C228,"zadat jazyk"))))</f>
        <v> Tlmič dorazu MINI do 25 kg (pár)</v>
      </c>
      <c r="B228" s="141" t="s">
        <v>1535</v>
      </c>
      <c r="C228" t="s">
        <v>1536</v>
      </c>
      <c r="D228" t="s">
        <v>1537</v>
      </c>
      <c r="E228" s="412" t="s">
        <v>2685</v>
      </c>
    </row>
    <row r="229" spans="1:5" ht="13">
      <c r="A229" t="str">
        <f t="shared" si="8"/>
        <v> Tlmič dorazu MINI do 40 kg (pár)</v>
      </c>
      <c r="B229" s="141" t="s">
        <v>1449</v>
      </c>
      <c r="C229" t="s">
        <v>1492</v>
      </c>
      <c r="D229" t="s">
        <v>1545</v>
      </c>
      <c r="E229" s="412" t="s">
        <v>2687</v>
      </c>
    </row>
    <row r="230" spans="1:5" ht="13">
      <c r="A230" t="str">
        <f>IF($G$1=1,B230,IF($G$1=2,D230,IF($G$1=3,E230,IF($G$1=4,C230,"zadat jazyk"))))</f>
        <v> Tlmič dorazu MINI do 60 kg (pár)</v>
      </c>
      <c r="B230" s="141" t="s">
        <v>2682</v>
      </c>
      <c r="C230" t="s">
        <v>2683</v>
      </c>
      <c r="D230" t="s">
        <v>2684</v>
      </c>
      <c r="E230" s="412" t="s">
        <v>2686</v>
      </c>
    </row>
    <row r="231" spans="1:5" ht="13">
      <c r="A231" t="str">
        <f>IF($G$1=1,B231,IF($G$1=2,D231,IF($G$1=3,E231,IF($G$1=4,C231,"zadat jazyk"))))</f>
        <v> Tlmič pre stredné krídlo do 25 kg</v>
      </c>
      <c r="B231" s="141" t="s">
        <v>2688</v>
      </c>
      <c r="C231" t="s">
        <v>2689</v>
      </c>
      <c r="D231" t="s">
        <v>2690</v>
      </c>
      <c r="E231" s="412" t="s">
        <v>2691</v>
      </c>
    </row>
    <row r="232" spans="1:5" ht="13">
      <c r="A232" t="str">
        <f t="shared" si="8"/>
        <v> Tlmič pre stredné krídlo do 40 kg</v>
      </c>
      <c r="B232" s="141" t="s">
        <v>1450</v>
      </c>
      <c r="C232" t="s">
        <v>1493</v>
      </c>
      <c r="D232" t="s">
        <v>1546</v>
      </c>
      <c r="E232" s="412" t="s">
        <v>1508</v>
      </c>
    </row>
    <row r="233" spans="1:5" ht="13">
      <c r="A233" t="str">
        <f t="shared" si="8"/>
        <v> Výstuha – profil 3m</v>
      </c>
      <c r="B233" s="141" t="s">
        <v>1461</v>
      </c>
      <c r="C233" t="s">
        <v>1494</v>
      </c>
      <c r="D233" t="s">
        <v>1547</v>
      </c>
      <c r="E233" s="412" t="s">
        <v>1509</v>
      </c>
    </row>
    <row r="234" spans="1:5" ht="13">
      <c r="A234" t="str">
        <f t="shared" si="8"/>
        <v> záslepka otvorov (4 ks)</v>
      </c>
      <c r="B234" s="141" t="s">
        <v>1462</v>
      </c>
      <c r="C234" t="s">
        <v>1495</v>
      </c>
      <c r="D234" t="s">
        <v>1548</v>
      </c>
      <c r="E234" s="412" t="s">
        <v>1510</v>
      </c>
    </row>
    <row r="235" spans="1:5" ht="13">
      <c r="A235" t="str">
        <f t="shared" si="8"/>
        <v> Maximálna šírka krídla môže byť 1 100 mm !!!</v>
      </c>
      <c r="B235" s="141" t="s">
        <v>1463</v>
      </c>
      <c r="C235" t="s">
        <v>1496</v>
      </c>
      <c r="D235" t="s">
        <v>1549</v>
      </c>
      <c r="E235" s="412" t="s">
        <v>1511</v>
      </c>
    </row>
    <row r="236" spans="1:5" ht="13">
      <c r="A236" t="str">
        <f t="shared" si="8"/>
        <v> nalepovacia úchytka, biela lesk</v>
      </c>
      <c r="B236" s="141" t="s">
        <v>2872</v>
      </c>
      <c r="C236" t="s">
        <v>2873</v>
      </c>
      <c r="D236" t="s">
        <v>2874</v>
      </c>
      <c r="E236" s="412" t="s">
        <v>2875</v>
      </c>
    </row>
    <row r="237" spans="1:5" ht="13">
      <c r="A237" t="str">
        <f t="shared" si="8"/>
        <v> nalepovacia úchytka, strieborná</v>
      </c>
      <c r="B237" s="141" t="s">
        <v>1464</v>
      </c>
      <c r="C237" t="s">
        <v>1497</v>
      </c>
      <c r="D237" t="s">
        <v>1550</v>
      </c>
      <c r="E237" s="412" t="s">
        <v>1512</v>
      </c>
    </row>
    <row r="238" spans="1:5" ht="13">
      <c r="A238" t="str">
        <f t="shared" si="8"/>
        <v> Ozdobné nalepovacie lišty</v>
      </c>
      <c r="B238" s="141" t="s">
        <v>1467</v>
      </c>
      <c r="C238" t="s">
        <v>1498</v>
      </c>
      <c r="D238" t="s">
        <v>1551</v>
      </c>
      <c r="E238" s="412" t="s">
        <v>1513</v>
      </c>
    </row>
    <row r="239" spans="1:5" ht="13">
      <c r="A239" t="str">
        <f t="shared" si="8"/>
        <v> v tejto farbe a dĺžke sa daný profil nevyrába</v>
      </c>
      <c r="B239" s="141" t="s">
        <v>1469</v>
      </c>
      <c r="C239" t="s">
        <v>1499</v>
      </c>
      <c r="D239" t="s">
        <v>1552</v>
      </c>
      <c r="E239" s="412" t="s">
        <v>1514</v>
      </c>
    </row>
    <row r="240" spans="1:5" ht="13">
      <c r="A240" t="str">
        <f t="shared" si="8"/>
        <v>zámok posuvných dverí</v>
      </c>
      <c r="B240" s="141" t="s">
        <v>2928</v>
      </c>
      <c r="C240" t="s">
        <v>2995</v>
      </c>
      <c r="D240" t="s">
        <v>2999</v>
      </c>
      <c r="E240" t="s">
        <v>3000</v>
      </c>
    </row>
    <row r="241" spans="1:5" ht="13">
      <c r="A241" t="str">
        <f t="shared" si="8"/>
        <v>klínok pre dilatáciu výplne 16mm</v>
      </c>
      <c r="B241" s="141" t="s">
        <v>2932</v>
      </c>
      <c r="C241" t="s">
        <v>2996</v>
      </c>
      <c r="D241" t="s">
        <v>2997</v>
      </c>
      <c r="E241" t="s">
        <v>3001</v>
      </c>
    </row>
    <row r="242" spans="1:5" ht="13">
      <c r="A242" t="str">
        <f t="shared" si="8"/>
        <v>dilatácia 4 mm</v>
      </c>
      <c r="B242" s="141" t="s">
        <v>2951</v>
      </c>
      <c r="C242" t="s">
        <v>3011</v>
      </c>
      <c r="D242" t="s">
        <v>3012</v>
      </c>
      <c r="E242" t="s">
        <v>3002</v>
      </c>
    </row>
    <row r="243" spans="1:5" ht="13">
      <c r="A243" t="str">
        <f t="shared" si="8"/>
        <v>katalóg kovania 2018 str.</v>
      </c>
      <c r="B243" s="141" t="s">
        <v>2969</v>
      </c>
      <c r="C243" t="s">
        <v>2985</v>
      </c>
      <c r="D243" t="s">
        <v>2998</v>
      </c>
      <c r="E243" t="s">
        <v>3003</v>
      </c>
    </row>
    <row r="244" spans="1:5" ht="13">
      <c r="A244" t="str">
        <f t="shared" si="8"/>
        <v>Technický nákres tohoto systému</v>
      </c>
      <c r="B244" s="141" t="s">
        <v>2970</v>
      </c>
      <c r="C244" t="s">
        <v>2986</v>
      </c>
      <c r="D244" t="s">
        <v>2970</v>
      </c>
      <c r="E244" t="s">
        <v>3004</v>
      </c>
    </row>
    <row r="245" spans="1:5" ht="13">
      <c r="A245" t="str">
        <f t="shared" si="8"/>
        <v>!!! V prípade použitia centrálneho tlmiča musíte znížiť výšku krídla (len toho, kde je centrálny tlmič umiestnený) o ďalšie 2 mm !!!</v>
      </c>
      <c r="B245" s="141" t="s">
        <v>2971</v>
      </c>
      <c r="C245" t="s">
        <v>2987</v>
      </c>
      <c r="D245" t="s">
        <v>3009</v>
      </c>
      <c r="E245" t="s">
        <v>2988</v>
      </c>
    </row>
    <row r="246" spans="1:5" ht="13">
      <c r="A246" t="str">
        <f t="shared" si="8"/>
        <v>!!! V prípade použitia centrálneho tlmiča musíte znížiť výšku krídla (len toho, kde je centrálny tlmič umiestnený) o ďalšie 4 mm !!!</v>
      </c>
      <c r="B246" s="141" t="s">
        <v>2972</v>
      </c>
      <c r="C246" t="s">
        <v>2989</v>
      </c>
      <c r="D246" t="s">
        <v>3013</v>
      </c>
      <c r="E246" t="s">
        <v>2990</v>
      </c>
    </row>
    <row r="247" spans="1:5" ht="13">
      <c r="A247" t="str">
        <f t="shared" ref="A247:A248" si="9">IF($G$1=1,B247,IF($G$1=2,D247,IF($G$1=3,E247,IF($G$1=4,C247,"zadat jazyk"))))</f>
        <v>!!! V prípade použitia tlmiča MINI SV musíte znížiť výšku krídla o ďalšie 4 mm !!!</v>
      </c>
      <c r="B247" s="141" t="s">
        <v>2973</v>
      </c>
      <c r="C247" t="s">
        <v>2991</v>
      </c>
      <c r="D247" t="s">
        <v>3010</v>
      </c>
      <c r="E247" t="s">
        <v>2992</v>
      </c>
    </row>
    <row r="248" spans="1:5" ht="13">
      <c r="A248" t="str">
        <f t="shared" si="9"/>
        <v>!!! V prípade použitia centrálneho tlmiča musíte znížiť výšku krídla (len toho, kde je centrálny tlmič umiestnený) o ďalších 9 mm !!!</v>
      </c>
      <c r="B248" s="141" t="s">
        <v>2974</v>
      </c>
      <c r="C248" t="s">
        <v>2993</v>
      </c>
      <c r="D248" t="s">
        <v>3014</v>
      </c>
      <c r="E248" t="s">
        <v>2994</v>
      </c>
    </row>
    <row r="249" spans="1:5" ht="13">
      <c r="A249" t="str">
        <f t="shared" ref="A249:A250" si="10">IF($G$1=1,B249,IF($G$1=2,D249,IF($G$1=3,E249,IF($G$1=4,C249,"zadat jazyk"))))</f>
        <v>!!! V prípade použitia centrálneho tlmiča musíte znížiť výšku krídla (len toho, kde je centrálny tlmič umiestnený) o ďalší 4 mm !!!</v>
      </c>
      <c r="B249" s="141" t="s">
        <v>2971</v>
      </c>
      <c r="C249" t="s">
        <v>2989</v>
      </c>
      <c r="D249" t="s">
        <v>4716</v>
      </c>
      <c r="E249" t="s">
        <v>2990</v>
      </c>
    </row>
    <row r="250" spans="1:5">
      <c r="A250" t="str">
        <f t="shared" si="10"/>
        <v>Na objednávku</v>
      </c>
      <c r="B250" s="141" t="s">
        <v>7985</v>
      </c>
      <c r="C250" t="s">
        <v>7987</v>
      </c>
      <c r="D250" t="s">
        <v>7985</v>
      </c>
      <c r="E250" s="148" t="s">
        <v>7986</v>
      </c>
    </row>
  </sheetData>
  <autoFilter ref="A1:L213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9">
    <pageSetUpPr fitToPage="1"/>
  </sheetPr>
  <dimension ref="A1:IU69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.5" style="5" customWidth="1"/>
    <col min="2" max="2" width="15.83203125" style="5" customWidth="1"/>
    <col min="3" max="3" width="41.5" style="5" customWidth="1"/>
    <col min="4" max="4" width="14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31.83203125" style="6" customWidth="1"/>
    <col min="10" max="10" width="14.1640625" style="6" hidden="1" customWidth="1"/>
    <col min="11" max="11" width="5.83203125" style="5" hidden="1" customWidth="1"/>
    <col min="12" max="12" width="5.5" style="5" hidden="1" customWidth="1"/>
    <col min="13" max="13" width="4.664062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255" width="9.1640625" style="5" hidden="1" customWidth="1"/>
    <col min="256" max="16384" width="5.5" style="5" hidden="1"/>
  </cols>
  <sheetData>
    <row r="1" spans="1:15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-10.8</v>
      </c>
    </row>
    <row r="2" spans="1:15" ht="18.75" customHeight="1">
      <c r="A2" s="538" t="s">
        <v>1456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15" ht="29" thickBot="1">
      <c r="A3" s="539" t="str">
        <f>CONCATENATE(texty!A243," ",5,".",91)</f>
        <v>katalóg kovania 2018 str. 5.91</v>
      </c>
      <c r="B3" s="434" t="str">
        <f>CONCATENATE(texty!A34," / max.         2 738 mm /")</f>
        <v>výška / max.         2 738 mm /</v>
      </c>
      <c r="C3" s="9" t="str">
        <f>CONCATENATE(texty!A35,"/max 6000/")</f>
        <v>šírka/max 6000/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15" ht="18" customHeight="1">
      <c r="A4" s="10" t="str">
        <f>+System10!A4</f>
        <v>VNÚTORNÝ ROZMER SKRINE:</v>
      </c>
      <c r="B4" s="56"/>
      <c r="C4" s="56"/>
      <c r="D4" s="22">
        <v>2</v>
      </c>
      <c r="E4" s="22" t="s">
        <v>416</v>
      </c>
      <c r="F4" s="664"/>
      <c r="G4" s="664"/>
      <c r="H4" s="664"/>
      <c r="I4" s="664"/>
      <c r="J4" s="195"/>
      <c r="K4" s="8"/>
    </row>
    <row r="5" spans="1:15" ht="18" customHeight="1">
      <c r="A5" s="669" t="str">
        <f>IF(E4&lt;&gt;K66,texty!$A$3,"")</f>
        <v/>
      </c>
      <c r="B5" s="669"/>
      <c r="C5" s="669"/>
      <c r="D5" s="669"/>
      <c r="E5" s="669"/>
      <c r="F5" s="664"/>
      <c r="G5" s="664"/>
      <c r="H5" s="664"/>
      <c r="I5" s="664"/>
      <c r="J5" s="195"/>
      <c r="K5" s="3"/>
    </row>
    <row r="6" spans="1:15" ht="18" customHeight="1">
      <c r="A6" s="10"/>
      <c r="B6" s="11" t="str">
        <f>IF(D4=4,texty!A227,"")</f>
        <v/>
      </c>
      <c r="D6" s="299">
        <v>3</v>
      </c>
      <c r="E6" s="8"/>
      <c r="F6" s="664"/>
      <c r="G6" s="664"/>
      <c r="H6" s="664"/>
      <c r="I6" s="664"/>
      <c r="J6" s="195"/>
      <c r="K6" s="6"/>
    </row>
    <row r="7" spans="1:15" ht="12.75" customHeight="1">
      <c r="A7" s="10" t="str">
        <f>+System10!$A$7</f>
        <v>krídlo dverí:</v>
      </c>
      <c r="B7" s="57">
        <f>+B4-38</f>
        <v>-38</v>
      </c>
      <c r="C7" s="59">
        <f>+((C4-3+40*(D4-1))/D4+IF(AND(D4=4,D6=2),L1,0))</f>
        <v>18.5</v>
      </c>
      <c r="D7" s="8"/>
      <c r="E7" s="8"/>
      <c r="F7" s="50" t="str">
        <f>texty!$A$39</f>
        <v>V prípade použitia skla ako výplne</v>
      </c>
      <c r="G7" s="6"/>
      <c r="K7" s="6"/>
      <c r="N7" s="17">
        <f>IF(C4&lt;1801,1800,IF(C4&lt;2501,2500,IF(C4&lt;3501,3500,IF(C4&lt;4301,4300,IF(C4&lt;6001,6000,"chybná hodnota")))))</f>
        <v>1800</v>
      </c>
      <c r="O7" s="21" t="str">
        <f>+E4</f>
        <v xml:space="preserve">strieborná </v>
      </c>
    </row>
    <row r="8" spans="1:15" ht="12.75" customHeight="1">
      <c r="A8" s="10" t="str">
        <f>texty!$A$48</f>
        <v>rozmer výplne 18mm:</v>
      </c>
      <c r="B8" s="57">
        <f>+B7-68</f>
        <v>-106</v>
      </c>
      <c r="C8" s="59">
        <f>+C7-24</f>
        <v>-5.5</v>
      </c>
      <c r="D8" s="8"/>
      <c r="E8" s="8"/>
      <c r="F8" s="50" t="str">
        <f>texty!$A$40</f>
        <v>je treba použiť bezpečnostné sklo</v>
      </c>
      <c r="G8" s="6"/>
      <c r="K8" s="6"/>
      <c r="N8" s="23" t="str">
        <f>CONCATENATE(N7,"-",E4)</f>
        <v xml:space="preserve">1800-strieborná </v>
      </c>
      <c r="O8" s="21"/>
    </row>
    <row r="9" spans="1:15" ht="12.75" customHeight="1">
      <c r="A9" s="10" t="str">
        <f>+System10!$A$9</f>
        <v>rozmer zrkadla / skla</v>
      </c>
      <c r="B9" s="61">
        <f>+B8</f>
        <v>-106</v>
      </c>
      <c r="C9" s="59">
        <f>C8-4</f>
        <v>-9.5</v>
      </c>
      <c r="D9" s="8"/>
      <c r="E9" s="8"/>
      <c r="F9" s="50" t="str">
        <f>texty!$A$41</f>
        <v>alebo sklo zabezpečiť ochrannou fóliou</v>
      </c>
      <c r="G9" s="6"/>
      <c r="K9" s="37"/>
      <c r="L9" s="36"/>
    </row>
    <row r="10" spans="1:15" ht="12.75" customHeight="1">
      <c r="A10" s="10" t="str">
        <f>+System10!$A$12</f>
        <v>úchytková lišta</v>
      </c>
      <c r="B10" s="525">
        <f>B7</f>
        <v>-38</v>
      </c>
      <c r="D10" s="8"/>
      <c r="E10" s="8"/>
      <c r="F10" s="3" t="str">
        <f>texty!$A$43</f>
        <v>Maximálna hmotnosť krídla je 50 kg</v>
      </c>
      <c r="G10" s="6"/>
      <c r="N10" s="17"/>
      <c r="O10" s="21"/>
    </row>
    <row r="11" spans="1:15" ht="12.75" customHeight="1">
      <c r="A11" s="10" t="str">
        <f>texty!$A$74</f>
        <v>dĺžka vodiacej a krycej lišty krídla</v>
      </c>
      <c r="B11" s="65"/>
      <c r="C11" s="69">
        <f>C7-40</f>
        <v>-21.5</v>
      </c>
      <c r="D11" s="8"/>
      <c r="E11" s="8"/>
      <c r="F11" s="3"/>
      <c r="G11" s="6"/>
      <c r="K11" s="36"/>
      <c r="N11" s="23"/>
      <c r="O11" s="21"/>
    </row>
    <row r="12" spans="1:15" ht="12.75" customHeight="1">
      <c r="A12" s="7" t="str">
        <f>System10!A13</f>
        <v>Dĺžka tesnenia na sklo na jednom krídle</v>
      </c>
      <c r="B12" s="58"/>
      <c r="C12" s="145">
        <f>B8*2+C8*2</f>
        <v>-223</v>
      </c>
      <c r="D12" s="8"/>
      <c r="E12" s="8"/>
      <c r="F12" s="6"/>
      <c r="G12" s="6"/>
      <c r="K12" s="6"/>
    </row>
    <row r="13" spans="1:15" ht="12.75" customHeight="1">
      <c r="A13" s="644" t="str">
        <f>IF(SUM(D44:D45)&gt;0,texty!A246,"")</f>
        <v/>
      </c>
      <c r="B13" s="644"/>
      <c r="C13" s="87"/>
      <c r="D13" s="8"/>
      <c r="E13" s="8"/>
      <c r="G13" s="40"/>
      <c r="K13" s="35"/>
    </row>
    <row r="14" spans="1:15" ht="28">
      <c r="A14" s="644"/>
      <c r="B14" s="644"/>
      <c r="C14" s="516" t="str">
        <f>texty!A78</f>
        <v>dodatočné odpočty výšky vypočítaných výplní pri použití deliacich profilov výplne:</v>
      </c>
      <c r="D14" s="8"/>
      <c r="E14" s="8"/>
      <c r="K14" s="6"/>
    </row>
    <row r="15" spans="1:15" ht="13.25" customHeight="1">
      <c r="A15" s="541"/>
      <c r="B15" s="541"/>
      <c r="C15" s="516"/>
      <c r="D15" s="8"/>
      <c r="E15" s="8"/>
      <c r="K15" s="6"/>
    </row>
    <row r="16" spans="1:15" ht="13">
      <c r="A16" s="10"/>
      <c r="B16" s="8"/>
      <c r="C16" s="516"/>
      <c r="D16" s="8"/>
      <c r="E16" s="8"/>
      <c r="K16" s="6"/>
    </row>
    <row r="17" spans="1:11" ht="13">
      <c r="A17" s="10"/>
      <c r="B17" s="8"/>
      <c r="C17" s="12"/>
      <c r="D17" s="8"/>
      <c r="E17" s="8"/>
      <c r="F17" s="6"/>
      <c r="G17" s="6"/>
      <c r="K17" s="6"/>
    </row>
    <row r="18" spans="1:11" ht="13">
      <c r="A18" s="10"/>
      <c r="C18" s="12"/>
      <c r="D18" s="8"/>
      <c r="E18" s="8"/>
      <c r="F18" s="6"/>
      <c r="G18" s="6"/>
      <c r="K18" s="6"/>
    </row>
    <row r="19" spans="1:11" ht="14.25" customHeight="1">
      <c r="A19" s="10"/>
      <c r="B19" s="498" t="str">
        <f>texty!A242</f>
        <v>dilatácia 4 mm</v>
      </c>
      <c r="C19" s="27"/>
      <c r="D19" s="8"/>
      <c r="E19" s="8"/>
      <c r="F19" s="6"/>
      <c r="G19" s="6"/>
      <c r="K19" s="6"/>
    </row>
    <row r="20" spans="1:11" ht="16.5" customHeight="1">
      <c r="A20" s="10"/>
      <c r="B20" s="8"/>
      <c r="C20" s="8"/>
      <c r="E20" s="8"/>
      <c r="F20" s="6"/>
      <c r="G20" s="6"/>
      <c r="K20" s="6"/>
    </row>
    <row r="21" spans="1:11" ht="16.5" customHeight="1">
      <c r="B21" s="8"/>
      <c r="C21" s="8"/>
      <c r="D21" s="13"/>
      <c r="E21" s="8"/>
      <c r="F21" s="6"/>
      <c r="G21" s="6"/>
      <c r="K21" s="6"/>
    </row>
    <row r="22" spans="1:11" ht="12.75" customHeight="1">
      <c r="A22" s="27"/>
      <c r="B22" s="496"/>
      <c r="C22" s="8"/>
      <c r="D22" s="8"/>
      <c r="E22" s="8"/>
      <c r="F22" s="6"/>
      <c r="K22" s="6"/>
    </row>
    <row r="23" spans="1:11" ht="12.75" customHeight="1">
      <c r="B23" s="8"/>
      <c r="C23" s="8"/>
      <c r="D23" s="8"/>
      <c r="E23" s="8"/>
      <c r="F23" s="6"/>
      <c r="G23" s="135"/>
      <c r="K23" s="6"/>
    </row>
    <row r="24" spans="1:11" ht="12.75" customHeight="1">
      <c r="A24" s="7"/>
      <c r="B24" s="8"/>
      <c r="C24" s="8"/>
      <c r="D24" s="8"/>
      <c r="E24" s="8"/>
      <c r="F24" s="6"/>
      <c r="G24" s="135" t="str">
        <f>+System10!G25</f>
        <v>partnerská zľava:</v>
      </c>
      <c r="K24" s="6"/>
    </row>
    <row r="25" spans="1:11" ht="12.75" customHeight="1">
      <c r="A25" s="14" t="str">
        <f>+System10!$A$26</f>
        <v>Objednávacie kódy, ceny:</v>
      </c>
      <c r="B25" s="8"/>
      <c r="C25" s="8"/>
      <c r="D25" s="8"/>
      <c r="E25" s="8"/>
      <c r="F25" s="6"/>
      <c r="G25" s="144">
        <f>profil!C15</f>
        <v>0</v>
      </c>
      <c r="H25" s="6" t="s">
        <v>70</v>
      </c>
      <c r="K25" s="6"/>
    </row>
    <row r="26" spans="1:11" s="83" customFormat="1" ht="12.75" customHeight="1">
      <c r="A26" s="81"/>
      <c r="B26" s="82" t="str">
        <f>+System10!B27</f>
        <v>kód</v>
      </c>
      <c r="C26" s="82" t="str">
        <f>+System10!C27</f>
        <v>názov</v>
      </c>
      <c r="D26" s="82" t="str">
        <f>+System10!D27</f>
        <v>ks</v>
      </c>
      <c r="E26" s="82" t="str">
        <f>+System10!E27</f>
        <v>cena/ks</v>
      </c>
      <c r="F26" s="18" t="str">
        <f>+System10!F27</f>
        <v>cena celkom</v>
      </c>
      <c r="G26" s="18" t="str">
        <f>+System10!G27</f>
        <v>celkom netto:</v>
      </c>
      <c r="H26" s="18"/>
      <c r="I26" s="18" t="str">
        <f>texty!A29</f>
        <v>Poznámka:</v>
      </c>
      <c r="J26" s="18"/>
      <c r="K26" s="18"/>
    </row>
    <row r="27" spans="1:11" ht="12.75" customHeight="1">
      <c r="A27" s="7" t="str">
        <f>System10!A28</f>
        <v>Horný profil:</v>
      </c>
      <c r="B27" s="8">
        <f>+VLOOKUP(N8,data!$C$635:$D$639,2,0)</f>
        <v>102835</v>
      </c>
      <c r="C27" s="38" t="str">
        <f>+VLOOKUP(B27,cennik!$A:$G,2,FALSE)</f>
        <v>SEVROLL-HORNÉ VEDEN. MAXIM 1,8M STR.</v>
      </c>
      <c r="D27" s="8">
        <v>1</v>
      </c>
      <c r="E27" s="103">
        <f>+VLOOKUP(B27,cennik!$A:$G,3,FALSE)</f>
        <v>22.223890000000001</v>
      </c>
      <c r="F27" s="103">
        <f t="shared" ref="F27:F33" si="0">+E27*D27</f>
        <v>22.223890000000001</v>
      </c>
      <c r="G27" s="105">
        <f t="shared" ref="G27:G33" si="1">+F27*(100-$G$25)/100</f>
        <v>22.223890000000001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K27" s="6"/>
    </row>
    <row r="28" spans="1:11" ht="12.75" customHeight="1">
      <c r="A28" s="73" t="str">
        <f>System10!A29</f>
        <v>spodný profil:</v>
      </c>
      <c r="B28" s="8">
        <f>+VLOOKUP($N$8,data!$C$640:$D$644,2,0)</f>
        <v>180411</v>
      </c>
      <c r="C28" s="38" t="str">
        <f>+VLOOKUP(B28,cennik!$A:$G,2,FALSE)</f>
        <v>SEVROLL-SPODNÉ VED. MAXIM II 1,8M STR.</v>
      </c>
      <c r="D28" s="8">
        <v>1</v>
      </c>
      <c r="E28" s="103">
        <f>+VLOOKUP(B28,cennik!$A:$G,3,FALSE)</f>
        <v>12.48587</v>
      </c>
      <c r="F28" s="103">
        <f t="shared" si="0"/>
        <v>12.48587</v>
      </c>
      <c r="G28" s="105">
        <f t="shared" si="1"/>
        <v>12.48587</v>
      </c>
      <c r="H28" s="6" t="str">
        <f>cennik!$B$2</f>
        <v>EUR</v>
      </c>
      <c r="I28" s="483" t="str">
        <f>IFERROR(IF((VLOOKUP(B28,cennik!A:L,12,0))="O",texty!$A$250,""),"")</f>
        <v>Na objednávku</v>
      </c>
      <c r="J28" s="196">
        <f>IF(D28&gt;0,IF(VLOOKUP(B28,cennik!A:L,12,FALSE)="O",1,""),"")</f>
        <v>1</v>
      </c>
      <c r="K28" s="6"/>
    </row>
    <row r="29" spans="1:11" ht="12.75" customHeight="1">
      <c r="A29" s="73" t="str">
        <f>texty!A83</f>
        <v>krycí profil (maska):</v>
      </c>
      <c r="B29" s="8">
        <f>+VLOOKUP($N$8,data!$C$650:$D$654,2,0)</f>
        <v>180415</v>
      </c>
      <c r="C29" s="38" t="str">
        <f>+VLOOKUP(B29,cennik!$A:$G,2,FALSE)</f>
        <v>SEVROLL-MAXIM II MASKA 1,8 M strieborná</v>
      </c>
      <c r="D29" s="8">
        <v>1</v>
      </c>
      <c r="E29" s="103">
        <f>+VLOOKUP(B29,cennik!$A:$G,3,FALSE)</f>
        <v>5.59213</v>
      </c>
      <c r="F29" s="103">
        <f>+E29*D29</f>
        <v>5.59213</v>
      </c>
      <c r="G29" s="105">
        <f>+F29*(100-$G$25)/100</f>
        <v>5.59213</v>
      </c>
      <c r="H29" s="6" t="str">
        <f>cennik!$B$2</f>
        <v>EUR</v>
      </c>
      <c r="I29" s="483" t="str">
        <f>IFERROR(IF((VLOOKUP(B29,cennik!A:L,12,0))="O",texty!$A$250,""),"")</f>
        <v>Na objednávku</v>
      </c>
      <c r="J29" s="196">
        <f>IF(D29&gt;0,IF(VLOOKUP(B29,cennik!A:L,12,FALSE)="O",1,""),"")</f>
        <v>1</v>
      </c>
      <c r="K29" s="6"/>
    </row>
    <row r="30" spans="1:11" ht="12.75" customHeight="1">
      <c r="A30" s="7" t="str">
        <f>System10!A31</f>
        <v>horné vozíky (sady)</v>
      </c>
      <c r="B30" s="190">
        <v>284540</v>
      </c>
      <c r="C30" s="38" t="str">
        <f>+VLOOKUP(B30,cennik!$A:$G,2,FALSE)</f>
        <v>SEVROLL Maxim horní vozík 18mm asym 2ks</v>
      </c>
      <c r="D30" s="17">
        <f>IF((D46+D47)&gt;D4,0,D4-(D47+D46))</f>
        <v>2</v>
      </c>
      <c r="E30" s="103">
        <f>+VLOOKUP(B30,cennik!$A:$G,3,FALSE)</f>
        <v>7.8097000000000003</v>
      </c>
      <c r="F30" s="106">
        <f t="shared" si="0"/>
        <v>15.619400000000001</v>
      </c>
      <c r="G30" s="105">
        <f t="shared" si="1"/>
        <v>15.619400000000001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6"/>
    </row>
    <row r="31" spans="1:11" ht="12.75" customHeight="1">
      <c r="A31" s="7" t="str">
        <f>System10!A32</f>
        <v>spodné vozíky (sada)</v>
      </c>
      <c r="B31" s="16">
        <v>328321</v>
      </c>
      <c r="C31" s="38" t="str">
        <f>+VLOOKUP(B31,cennik!$A:$G,2,FALSE)</f>
        <v>SEV-spodní vozík WD10 V 2ks bez pozicionéru</v>
      </c>
      <c r="D31" s="17">
        <f>+D4</f>
        <v>2</v>
      </c>
      <c r="E31" s="103">
        <f>+VLOOKUP(B31,cennik!$A:$G,3,FALSE)</f>
        <v>6.1947299999999998</v>
      </c>
      <c r="F31" s="106">
        <f t="shared" si="0"/>
        <v>12.38946</v>
      </c>
      <c r="G31" s="105">
        <f t="shared" si="1"/>
        <v>12.38946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/>
    </row>
    <row r="32" spans="1:11" ht="12.75" customHeight="1">
      <c r="A32" s="7" t="str">
        <f>System10!A33</f>
        <v>dorazový kartáč</v>
      </c>
      <c r="B32" s="16">
        <v>98067</v>
      </c>
      <c r="C32" s="38" t="str">
        <f>+VLOOKUP(B32,cennik!$A:$G,2,FALSE)</f>
        <v>SEVROLL dorazový kartáč zásuvný 14,5x4mm</v>
      </c>
      <c r="D32" s="17">
        <f>CEILING((B4*D4*2/1000),1)</f>
        <v>0</v>
      </c>
      <c r="E32" s="103">
        <f>+VLOOKUP(B32,cennik!$A:$G,3,FALSE)</f>
        <v>0.17649000000000001</v>
      </c>
      <c r="F32" s="106">
        <f t="shared" si="0"/>
        <v>0</v>
      </c>
      <c r="G32" s="105">
        <f t="shared" si="1"/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</row>
    <row r="33" spans="1:11" ht="12.75" customHeight="1">
      <c r="A33" s="7" t="str">
        <f>System10!A34</f>
        <v>úchytková lišta</v>
      </c>
      <c r="B33" s="225">
        <v>284539</v>
      </c>
      <c r="C33" s="38" t="str">
        <f>+VLOOKUP(B33,cennik!$A:$G,2,FALSE)</f>
        <v>SEVROLL Rex úchytová lišta 2,7m strieborná</v>
      </c>
      <c r="D33" s="17">
        <f>IF(B10&lt;=1347,D4*2/2,D4*2)</f>
        <v>2</v>
      </c>
      <c r="E33" s="103">
        <f>+VLOOKUP(B33,cennik!$A:$G,3,FALSE)</f>
        <v>24.97174</v>
      </c>
      <c r="F33" s="106">
        <f t="shared" si="0"/>
        <v>49.943480000000001</v>
      </c>
      <c r="G33" s="105">
        <f t="shared" si="1"/>
        <v>49.943480000000001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</row>
    <row r="34" spans="1:11" ht="12.75" customHeight="1">
      <c r="A34" s="7" t="str">
        <f>System10!A36</f>
        <v>horný profil rámu (vodiaca lišta)</v>
      </c>
      <c r="B34" s="8">
        <f>+VLOOKUP(N8,data!$C$645:$D$650,2,0)</f>
        <v>102820</v>
      </c>
      <c r="C34" s="38" t="str">
        <f>+VLOOKUP(B34,cennik!$A:$G,2,FALSE)</f>
        <v>SEVROLL-MAXIM VOD.LIŠTA 1,8 M STRIEBORNA</v>
      </c>
      <c r="D34" s="17">
        <v>1</v>
      </c>
      <c r="E34" s="103">
        <f>+VLOOKUP(B34,cennik!$A:$G,3,FALSE)</f>
        <v>16.197890000000001</v>
      </c>
      <c r="F34" s="106">
        <f>+E34*D34</f>
        <v>16.197890000000001</v>
      </c>
      <c r="G34" s="105">
        <f>+F34*(100-$G$25)/100</f>
        <v>16.197890000000001</v>
      </c>
      <c r="H34" s="6" t="str">
        <f>cennik!$B$2</f>
        <v>EUR</v>
      </c>
      <c r="I34" s="483" t="str">
        <f>IFERROR(IF((VLOOKUP(B34,cennik!A:L,12,0))="O",texty!$A$250,""),"")</f>
        <v>Na objednávku</v>
      </c>
      <c r="J34" s="196">
        <f>IF(D34&gt;0,IF(VLOOKUP(B34,cennik!A:L,12,FALSE)="O",1,""),"")</f>
        <v>1</v>
      </c>
      <c r="K34" s="6"/>
    </row>
    <row r="35" spans="1:11" ht="12.75" customHeight="1">
      <c r="A35" s="7" t="str">
        <f>System10!A38</f>
        <v>horizontálny spodný profil rámu</v>
      </c>
      <c r="B35" s="8">
        <f>+VLOOKUP(N8,data!$C$655:$D$659,2,0)</f>
        <v>102827</v>
      </c>
      <c r="C35" s="38" t="str">
        <f>+VLOOKUP(B35,cennik!$A:$G,2,FALSE)</f>
        <v>SEVROLL Maxim spod.krycia lišta 1,8m strieborná</v>
      </c>
      <c r="D35" s="17">
        <v>1</v>
      </c>
      <c r="E35" s="103">
        <f>+VLOOKUP(B35,cennik!$A:$G,3,FALSE)</f>
        <v>23.453189999999999</v>
      </c>
      <c r="F35" s="106">
        <f>+E35*D35</f>
        <v>23.453189999999999</v>
      </c>
      <c r="G35" s="105">
        <f>+F35*(100-$G$25)/100</f>
        <v>23.453189999999999</v>
      </c>
      <c r="H35" s="6" t="str">
        <f>cennik!$B$2</f>
        <v>EUR</v>
      </c>
      <c r="I35" s="483" t="str">
        <f>IFERROR(IF((VLOOKUP(B35,cennik!A:L,12,0))="O",texty!$A$250,""),"")</f>
        <v>Na objednávku</v>
      </c>
      <c r="J35" s="196">
        <f>IF(D35&gt;0,IF(VLOOKUP(B35,cennik!A:L,12,FALSE)="O",1,""),"")</f>
        <v>1</v>
      </c>
      <c r="K35" s="6"/>
    </row>
    <row r="36" spans="1:11" ht="12.75" customHeight="1">
      <c r="A36" s="7" t="s">
        <v>14</v>
      </c>
      <c r="B36" s="16">
        <v>89244</v>
      </c>
      <c r="C36" s="38" t="str">
        <f>+VLOOKUP(B36,cennik!$A:$G,2,FALSE)</f>
        <v>SEVROLL šroubovrut 6,3*32 -Sevroll a Simple</v>
      </c>
      <c r="D36" s="17">
        <f>+D4*4</f>
        <v>8</v>
      </c>
      <c r="E36" s="103">
        <f>+VLOOKUP(B36,cennik!$A:$G,3,FALSE)</f>
        <v>0.14462</v>
      </c>
      <c r="F36" s="92">
        <f>+E36*D36</f>
        <v>1.15696</v>
      </c>
      <c r="G36" s="93">
        <f>+F36*(100-$G$25)/100</f>
        <v>1.15696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6"/>
    </row>
    <row r="37" spans="1:11" ht="12.75" customHeight="1">
      <c r="A37" s="7"/>
      <c r="B37" s="16"/>
      <c r="C37" s="25"/>
      <c r="D37" s="17"/>
      <c r="E37" s="106"/>
      <c r="F37" s="106"/>
      <c r="G37" s="105"/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6"/>
    </row>
    <row r="38" spans="1:11" ht="12.75" customHeight="1">
      <c r="A38" s="14" t="str">
        <f>texty!$A$66</f>
        <v>Voliteľné príslušenstvo:</v>
      </c>
      <c r="B38" s="16"/>
      <c r="C38" s="25"/>
      <c r="D38" s="26" t="str">
        <f>+System10!D41</f>
        <v>zadajte počet:</v>
      </c>
      <c r="E38" s="106"/>
      <c r="F38" s="106"/>
      <c r="G38" s="105"/>
      <c r="I38" s="483" t="str">
        <f>IFERROR(IF((VLOOKUP(B38,cennik!A:L,12,0))="O",texty!$A$250,""),"")</f>
        <v/>
      </c>
      <c r="J38" s="196"/>
      <c r="K38" s="6"/>
    </row>
    <row r="39" spans="1:11" ht="12.75" customHeight="1">
      <c r="A39" s="7" t="str">
        <f>texty!A88</f>
        <v>pozicionér do horného vedenia</v>
      </c>
      <c r="B39" s="16">
        <v>298035</v>
      </c>
      <c r="C39" s="38" t="str">
        <f>+VLOOKUP(B39,cennik!$A:$G,2,FALSE)</f>
        <v>SEVROLL Fix pozicionér pre horný vozík tran.</v>
      </c>
      <c r="D39" s="29"/>
      <c r="E39" s="103">
        <f>+VLOOKUP(B39,cennik!$A:$G,3,FALSE)</f>
        <v>1.0605800000000001</v>
      </c>
      <c r="F39" s="106">
        <f>+E39*D39</f>
        <v>0</v>
      </c>
      <c r="G39" s="105">
        <f>+F39*(100-$G$25)/100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6"/>
    </row>
    <row r="40" spans="1:11" ht="12.75" customHeight="1">
      <c r="A40" s="7" t="str">
        <f>System10!A43</f>
        <v xml:space="preserve">pozicionér </v>
      </c>
      <c r="B40" s="16">
        <v>89063</v>
      </c>
      <c r="C40" s="38" t="str">
        <f>+VLOOKUP(B40,cennik!$A:$G,2,FALSE)</f>
        <v>SEV - pozicionér HI-TEC</v>
      </c>
      <c r="D40" s="29"/>
      <c r="E40" s="103">
        <f>+VLOOKUP(B40,cennik!$A:$G,3,FALSE)</f>
        <v>0.31335000000000002</v>
      </c>
      <c r="F40" s="106">
        <f>+E40*D40</f>
        <v>0</v>
      </c>
      <c r="G40" s="105">
        <f>+F40*(100-$G$25)/100</f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6"/>
    </row>
    <row r="41" spans="1:11" ht="12.75" customHeight="1">
      <c r="A41" s="436" t="str">
        <f>texty!$A$228</f>
        <v> Tlmič dorazu MINI do 25 kg (pár)</v>
      </c>
      <c r="B41" s="16">
        <v>318662</v>
      </c>
      <c r="C41" s="25" t="str">
        <f>+VLOOKUP(B41,cennik!$A:$G,2,FALSE)</f>
        <v>SEVROLL tlmič dorazu Mini SV25 - 2ks</v>
      </c>
      <c r="D41" s="29"/>
      <c r="E41" s="92">
        <f>+VLOOKUP(B41,cennik!$A:$G,3,FALSE)</f>
        <v>22.368510000000001</v>
      </c>
      <c r="F41" s="106">
        <f t="shared" ref="F41:F45" si="2">+E41*D41</f>
        <v>0</v>
      </c>
      <c r="G41" s="105">
        <f t="shared" ref="G41:G45" si="3">+F41*(100-$G$25)/100</f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6"/>
    </row>
    <row r="42" spans="1:11" ht="12.75" customHeight="1">
      <c r="A42" s="436" t="str">
        <f>texty!$A$229</f>
        <v> Tlmič dorazu MINI do 40 kg (pár)</v>
      </c>
      <c r="B42" s="24">
        <v>283956</v>
      </c>
      <c r="C42" s="25" t="str">
        <f>+VLOOKUP(B42,cennik!$A:$G,2,FALSE)</f>
        <v>SEVROLL tlmič dorazu Mini SV40 - 2ks</v>
      </c>
      <c r="D42" s="29"/>
      <c r="E42" s="92">
        <f>+VLOOKUP(B42,cennik!$A:$G,3,FALSE)</f>
        <v>22.368510000000001</v>
      </c>
      <c r="F42" s="106">
        <f t="shared" si="2"/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6"/>
    </row>
    <row r="43" spans="1:11" ht="12.75" customHeight="1">
      <c r="A43" s="436" t="str">
        <f>texty!$A$230</f>
        <v> Tlmič dorazu MINI do 60 kg (pár)</v>
      </c>
      <c r="B43" s="24">
        <v>351743</v>
      </c>
      <c r="C43" s="25" t="str">
        <f>+VLOOKUP(B43,cennik!$A:$G,2,FALSE)</f>
        <v/>
      </c>
      <c r="D43" s="29"/>
      <c r="E43" s="92">
        <f>+VLOOKUP(B43,cennik!$A:$G,3,FALSE)</f>
        <v>22.368510000000001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6"/>
    </row>
    <row r="44" spans="1:11" ht="12.75" customHeight="1">
      <c r="A44" s="436" t="str">
        <f>texty!$A$231</f>
        <v> Tlmič pre stredné krídlo do 25 kg</v>
      </c>
      <c r="B44" s="24">
        <v>318663</v>
      </c>
      <c r="C44" s="25" t="str">
        <f>+VLOOKUP(B44,cennik!$A:$G,2,FALSE)</f>
        <v>SEVROLL tlmič Central 10/18mm obojst. 25 kg</v>
      </c>
      <c r="D44" s="29"/>
      <c r="E44" s="92">
        <f>+VLOOKUP(B44,cennik!$A:$G,3,FALSE)</f>
        <v>47.918750000000003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6"/>
    </row>
    <row r="45" spans="1:11" ht="12.75" customHeight="1">
      <c r="A45" s="436" t="str">
        <f>texty!$A$232</f>
        <v> Tlmič pre stredné krídlo do 40 kg</v>
      </c>
      <c r="B45" s="24">
        <v>283955</v>
      </c>
      <c r="C45" s="25" t="str">
        <f>+VLOOKUP(B45,cennik!$A:$G,2,FALSE)</f>
        <v>SEVROLL tlmič Central 10/18mm obojst.25-40kg</v>
      </c>
      <c r="D45" s="29"/>
      <c r="E45" s="92">
        <f>+VLOOKUP(B45,cennik!$A:$G,3,FALSE)</f>
        <v>47.918750000000003</v>
      </c>
      <c r="F45" s="106">
        <f t="shared" si="2"/>
        <v>0</v>
      </c>
      <c r="G45" s="105">
        <f t="shared" si="3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6"/>
    </row>
    <row r="46" spans="1:11" ht="12.75" customHeight="1">
      <c r="A46" s="7" t="str">
        <f>System10!A49</f>
        <v>tlmič dorazu (pár) 25 kg</v>
      </c>
      <c r="B46" s="24">
        <v>227185</v>
      </c>
      <c r="C46" s="38" t="str">
        <f>+VLOOKUP(B46,cennik!$A:$G,2,FALSE)</f>
        <v>K-SEVROLL tlmič dorazu 10/18mm 14-25kg(L+P)</v>
      </c>
      <c r="D46" s="29"/>
      <c r="E46" s="103">
        <f>+VLOOKUP(B46,cennik!$A:$G,3,FALSE)</f>
        <v>0</v>
      </c>
      <c r="F46" s="106">
        <f>+E46*D46</f>
        <v>0</v>
      </c>
      <c r="G46" s="105">
        <f t="shared" ref="G46:G52" si="4">+F46*(100-$G$25)/100</f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6"/>
    </row>
    <row r="47" spans="1:11" ht="12.75" customHeight="1">
      <c r="A47" s="7" t="str">
        <f>texty!$A$98</f>
        <v>tlmič dorazu (pár) 50 kg</v>
      </c>
      <c r="B47" s="24">
        <v>227187</v>
      </c>
      <c r="C47" s="25" t="str">
        <f>+VLOOKUP(B47,cennik!$A:$G,2,FALSE)</f>
        <v>K-SEVROLL tlmič dorazu 10/18mm 25-50kg(L+P)</v>
      </c>
      <c r="D47" s="29"/>
      <c r="E47" s="92">
        <f>+VLOOKUP(B47,cennik!$A:$G,3,FALSE)</f>
        <v>0</v>
      </c>
      <c r="F47" s="97">
        <f>+CEILING(D47,1)*E47</f>
        <v>0</v>
      </c>
      <c r="G47" s="105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</row>
    <row r="48" spans="1:11" ht="12.75" customHeight="1">
      <c r="A48" s="7" t="str">
        <f>texty!A169</f>
        <v>spojovací profil H18 MAXIM 1,8m</v>
      </c>
      <c r="B48" s="191">
        <v>102833</v>
      </c>
      <c r="C48" s="38" t="str">
        <f>+VLOOKUP(B48,cennik!$A:$G,2,FALSE)</f>
        <v>SEVROLL-SPOJ.LIŠTA H18 MAXIM 1,8M STR</v>
      </c>
      <c r="D48" s="29"/>
      <c r="E48" s="103">
        <f>+VLOOKUP(B48,cennik!$A:$G,3,FALSE)</f>
        <v>8.0266300000000008</v>
      </c>
      <c r="F48" s="106">
        <f>+E48*D48</f>
        <v>0</v>
      </c>
      <c r="G48" s="105">
        <f t="shared" si="4"/>
        <v>0</v>
      </c>
      <c r="H48" s="6" t="str">
        <f>cennik!$B$2</f>
        <v>EUR</v>
      </c>
      <c r="I48" s="483" t="str">
        <f>IFERROR(IF((VLOOKUP(B48,cennik!A:L,12,0))="O",texty!$A$250,""),"")</f>
        <v>Na objednávku</v>
      </c>
      <c r="J48" s="196" t="str">
        <f>IF(D48&gt;0,IF(VLOOKUP(B48,cennik!A:L,12,FALSE)="O",1,""),"")</f>
        <v/>
      </c>
      <c r="K48" s="3"/>
    </row>
    <row r="49" spans="1:13" ht="12.75" customHeight="1">
      <c r="A49" s="7" t="str">
        <f>texty!A170</f>
        <v>spojovací profil H18 MAXIM 2,5m</v>
      </c>
      <c r="B49" s="191">
        <v>102834</v>
      </c>
      <c r="C49" s="38" t="str">
        <f>+VLOOKUP(B49,cennik!$A:$G,2,FALSE)</f>
        <v>SEVROLL-SPOJ.LIŠTA H18 2,5M str.</v>
      </c>
      <c r="D49" s="29"/>
      <c r="E49" s="103">
        <f>+VLOOKUP(B49,cennik!$A:$G,3,FALSE)</f>
        <v>11.111940000000001</v>
      </c>
      <c r="F49" s="106">
        <f>+CEILING(D49,1)*E49</f>
        <v>0</v>
      </c>
      <c r="G49" s="105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3"/>
    </row>
    <row r="50" spans="1:13" ht="12.75" customHeight="1">
      <c r="A50" s="7" t="str">
        <f>texty!A171</f>
        <v>spojovací profil H25 MAXIM 1,8m</v>
      </c>
      <c r="B50" s="191">
        <v>98055</v>
      </c>
      <c r="C50" s="38" t="str">
        <f>+VLOOKUP(B50,cennik!$A:$G,2,FALSE)</f>
        <v>SEVROLL Maxim spojovacia lišta H25 1,8m str.</v>
      </c>
      <c r="D50" s="29"/>
      <c r="E50" s="103">
        <f>+VLOOKUP(B50,cennik!$A:$G,3,FALSE)</f>
        <v>14.67934</v>
      </c>
      <c r="F50" s="106">
        <f>+CEILING(D50,1)*E50</f>
        <v>0</v>
      </c>
      <c r="G50" s="105">
        <f t="shared" si="4"/>
        <v>0</v>
      </c>
      <c r="H50" s="6" t="str">
        <f>cennik!$B$2</f>
        <v>EUR</v>
      </c>
      <c r="I50" s="483" t="str">
        <f>IFERROR(IF((VLOOKUP(B50,cennik!A:L,12,0))="O",texty!$A$250,""),"")</f>
        <v>Na objednávku</v>
      </c>
      <c r="J50" s="196" t="str">
        <f>IF(D50&gt;0,IF(VLOOKUP(B50,cennik!A:L,12,FALSE)="O",1,""),"")</f>
        <v/>
      </c>
      <c r="K50" s="3"/>
    </row>
    <row r="51" spans="1:13" ht="12.75" customHeight="1">
      <c r="A51" s="7" t="str">
        <f>texty!A172</f>
        <v>spojovací profil H25 MAXIM 2,5m</v>
      </c>
      <c r="B51" s="191">
        <v>102832</v>
      </c>
      <c r="C51" s="38" t="str">
        <f>+VLOOKUP(B51,cennik!$A:$G,2,FALSE)</f>
        <v>SEVROLL-SPOJ.LIŠTA H25 2,5M str.</v>
      </c>
      <c r="D51" s="29"/>
      <c r="E51" s="103">
        <f>+VLOOKUP(B51,cennik!$A:$G,3,FALSE)</f>
        <v>20.464300000000001</v>
      </c>
      <c r="F51" s="106">
        <f>+CEILING(D51,1)*E51</f>
        <v>0</v>
      </c>
      <c r="G51" s="105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3"/>
    </row>
    <row r="52" spans="1:13" ht="12.75" customHeight="1">
      <c r="A52" s="7" t="str">
        <f>texty!$A$92</f>
        <v>spojovacia skrutka</v>
      </c>
      <c r="B52" s="192">
        <v>89244</v>
      </c>
      <c r="C52" s="25" t="str">
        <f>+VLOOKUP(B52,cennik!$A:$G,2,FALSE)</f>
        <v>SEVROLL šroubovrut 6,3*32 -Sevroll a Simple</v>
      </c>
      <c r="D52" s="30"/>
      <c r="E52" s="92">
        <f>+VLOOKUP(B52,cennik!$A:$G,3,FALSE)</f>
        <v>0.14462</v>
      </c>
      <c r="F52" s="92">
        <f>+E52*D52</f>
        <v>0</v>
      </c>
      <c r="G52" s="105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3"/>
    </row>
    <row r="53" spans="1:13" ht="12.75" customHeight="1">
      <c r="A53" s="41" t="str">
        <f>CONCATENATE(texty!$A$6,ROUND((C12/1000),1),texty!$A$8)</f>
        <v>Pokiaľ budete používať ako výplň sklo / zrkadlo, je nutné doobjednať tesnenie. Dĺžka tesnenia na jedno krídlo je -0,2m, pokiaľ je preskenných viac krídel, treba vynásobiť</v>
      </c>
      <c r="B53" s="42"/>
      <c r="C53" s="43"/>
      <c r="D53" s="44"/>
      <c r="E53" s="98"/>
      <c r="F53" s="98"/>
      <c r="G53" s="99"/>
      <c r="I53" s="483" t="str">
        <f>IFERROR(IF((VLOOKUP(B53,cennik!A:L,12,0))="O",texty!$A$250,""),"")</f>
        <v/>
      </c>
      <c r="J53" s="186"/>
      <c r="K53" s="6"/>
    </row>
    <row r="54" spans="1:13" ht="12.75" customHeight="1">
      <c r="C54" s="40" t="str">
        <f>texty!$A$10</f>
        <v>Potrebná dĺžka tesnenia pri celkovom presklení (nutné objednať celé metre)</v>
      </c>
      <c r="D54" s="39">
        <f>CEILING(((C12*D4)/1000),1)</f>
        <v>0</v>
      </c>
      <c r="E54" s="95"/>
      <c r="F54" s="95"/>
      <c r="G54" s="95"/>
      <c r="I54" s="483" t="str">
        <f>IFERROR(IF((VLOOKUP(B54,cennik!A:L,12,0))="O",texty!$A$250,""),"")</f>
        <v/>
      </c>
      <c r="J54" s="186"/>
      <c r="K54" s="6"/>
    </row>
    <row r="55" spans="1:13" ht="12.75" customHeight="1">
      <c r="A55" s="48" t="str">
        <f>texty!$A$12</f>
        <v>(pri kombináciach s H profilmi je nutné pripočítať potrebnú dĺžku - tesnenie musí byť po celom odvode každého skla</v>
      </c>
      <c r="B55" s="46"/>
      <c r="C55" s="47"/>
      <c r="D55" s="46"/>
      <c r="E55" s="100"/>
      <c r="F55" s="100"/>
      <c r="G55" s="100"/>
      <c r="I55" s="483" t="str">
        <f>IFERROR(IF((VLOOKUP(B55,cennik!A:L,12,0))="O",texty!$A$250,""),"")</f>
        <v/>
      </c>
      <c r="J55" s="186"/>
      <c r="K55" s="6"/>
    </row>
    <row r="56" spans="1:13" ht="12.75" customHeight="1">
      <c r="A56" s="7" t="str">
        <f>texty!A105</f>
        <v>tesnenie na sklo 4mm asymetrické</v>
      </c>
      <c r="B56" s="17" t="s">
        <v>83</v>
      </c>
      <c r="C56" s="38" t="str">
        <f>+VLOOKUP(B56,cennik!$A:$G,2,FALSE)</f>
        <v>SEVROLL tesnenie na sklo 18/4-4,5mm asymetr.</v>
      </c>
      <c r="D56" s="45"/>
      <c r="E56" s="103">
        <f>+VLOOKUP(B56,cennik!$A:$G,3,FALSE)</f>
        <v>2.37086</v>
      </c>
      <c r="F56" s="97">
        <f>+CEILING(D56,1)*E56</f>
        <v>0</v>
      </c>
      <c r="G56" s="105">
        <f>+F56*(100-$G$25)/100</f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6"/>
    </row>
    <row r="57" spans="1:13" ht="12.75" customHeight="1">
      <c r="A57" s="7"/>
      <c r="B57" s="17">
        <v>256425</v>
      </c>
      <c r="C57" s="172" t="str">
        <f>VLOOKUP(B57,cennik!A:C,2,0)</f>
        <v>SEVROLL montážny prípravok pre systém Maxim malý</v>
      </c>
      <c r="D57" s="45"/>
      <c r="E57" s="92">
        <f>+VLOOKUP(B57,cennik!$A:$G,3,FALSE)</f>
        <v>5.8819900000000001</v>
      </c>
      <c r="F57" s="97">
        <f>+CEILING(D57,1)*E57</f>
        <v>0</v>
      </c>
      <c r="G57" s="93">
        <f>F57</f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6"/>
    </row>
    <row r="58" spans="1:13" ht="12.75" customHeight="1">
      <c r="A58" s="7"/>
      <c r="B58" s="17">
        <v>128842</v>
      </c>
      <c r="C58" s="172" t="str">
        <f>VLOOKUP(B58,cennik!A:C,2,0)</f>
        <v>SEVROLL-VRTÁK STUPŇOVITÝ 6,5/9,5mm</v>
      </c>
      <c r="D58" s="45"/>
      <c r="E58" s="92">
        <f>+VLOOKUP(B58,cennik!$A:$G,3,FALSE)</f>
        <v>23.986910000000002</v>
      </c>
      <c r="F58" s="97">
        <f>+CEILING(D58,1)*E58</f>
        <v>0</v>
      </c>
      <c r="G58" s="93">
        <f>F58</f>
        <v>0</v>
      </c>
      <c r="H58" s="6" t="str">
        <f>cennik!$B$2</f>
        <v>EUR</v>
      </c>
      <c r="I58" s="483" t="str">
        <f>IFERROR(IF((VLOOKUP(B58,cennik!A:L,12,0))="O",texty!$A$250,""),"")</f>
        <v/>
      </c>
      <c r="J58" s="196" t="str">
        <f>IF(D58&gt;0,IF(VLOOKUP(B58,cennik!A:L,12,FALSE)="O",1,""),"")</f>
        <v/>
      </c>
      <c r="K58" s="6"/>
    </row>
    <row r="59" spans="1:13" ht="12.75" customHeight="1">
      <c r="A59" s="7"/>
      <c r="B59" s="17"/>
      <c r="C59" s="38"/>
      <c r="D59" s="38"/>
      <c r="E59" s="103"/>
      <c r="F59" s="97"/>
      <c r="G59" s="93"/>
      <c r="I59" s="186"/>
      <c r="J59" s="196"/>
      <c r="K59" s="6"/>
    </row>
    <row r="60" spans="1:13" ht="16">
      <c r="A60" s="285" t="str">
        <f>texty!$A$190</f>
        <v>Ďalšie príslušenstvo</v>
      </c>
      <c r="B60" s="286"/>
      <c r="C60" s="286"/>
      <c r="D60" s="286"/>
      <c r="E60" s="286"/>
      <c r="F60" s="286"/>
      <c r="G60" s="286"/>
      <c r="H60" s="286"/>
      <c r="I60" s="286"/>
      <c r="J60" s="135"/>
      <c r="K60" s="6"/>
    </row>
    <row r="61" spans="1:13" ht="12.75" customHeight="1">
      <c r="C61" s="74"/>
      <c r="D61" s="77" t="str">
        <f>texty!$A$15</f>
        <v>CELKOM  (bez DPH)</v>
      </c>
      <c r="E61" s="107"/>
      <c r="F61" s="108">
        <f>SUM(F27:F59)</f>
        <v>159.06227000000001</v>
      </c>
      <c r="G61" s="108">
        <f>SUM(G27:G59)</f>
        <v>159.06227000000001</v>
      </c>
      <c r="H61" s="6" t="str">
        <f>cennik!$B$2</f>
        <v>EUR</v>
      </c>
      <c r="I61" s="186"/>
      <c r="J61" s="186"/>
      <c r="K61" s="6"/>
    </row>
    <row r="62" spans="1:13" ht="12.75" customHeight="1">
      <c r="A62" s="76" t="str">
        <f>System10!$A$67</f>
        <v>Vaša poznámka:</v>
      </c>
      <c r="B62" s="667"/>
      <c r="C62" s="666"/>
      <c r="D62" s="666"/>
      <c r="E62" s="666"/>
      <c r="F62" s="666"/>
      <c r="G62" s="666"/>
      <c r="K62" s="6"/>
    </row>
    <row r="63" spans="1:13" ht="12.75" customHeight="1">
      <c r="A63" s="668">
        <f>profil!$U$15</f>
        <v>0</v>
      </c>
      <c r="B63" s="658"/>
      <c r="C63" s="658"/>
      <c r="D63" s="658"/>
      <c r="E63" s="658"/>
      <c r="F63" s="658"/>
      <c r="G63" s="658"/>
      <c r="K63" s="6"/>
    </row>
    <row r="64" spans="1:13" ht="12.75" customHeight="1">
      <c r="A64" s="659" t="str">
        <f>IF(M64=1,texty!$A$215,IF(J64&gt;0,texty!$A$214,""))</f>
        <v>některé položky sú na objednávku, počítajte prosím s dodaciou  lehotou  do 5 týždnov</v>
      </c>
      <c r="B64" s="659"/>
      <c r="C64" s="659"/>
      <c r="D64" s="659"/>
      <c r="E64" s="659"/>
      <c r="F64" s="659"/>
      <c r="G64" s="659"/>
      <c r="J64" s="6">
        <f>SUM(J27:J59)</f>
        <v>5</v>
      </c>
      <c r="M64" s="5">
        <f>IF(ISERROR(J64),1,0)</f>
        <v>0</v>
      </c>
    </row>
    <row r="65" spans="11:11" ht="12.75" customHeight="1"/>
    <row r="66" spans="11:11" ht="12.75" hidden="1" customHeight="1">
      <c r="K66" s="5" t="str">
        <f>texty!A128</f>
        <v xml:space="preserve">strieborná </v>
      </c>
    </row>
    <row r="67" spans="11:11" ht="12.75" customHeight="1"/>
    <row r="68" spans="11:11" ht="12.75" customHeight="1"/>
    <row r="69" spans="11:11" ht="12.75" customHeight="1"/>
  </sheetData>
  <sheetProtection algorithmName="SHA-512" hashValue="9+U0luBsvfMglI7RtxlRXYZq2H+p503wYge20h+Y0ulnqRO3gSfymdhSOp15/sDOuy7rnKZ0OJLtcdcqssQUow==" saltValue="BlCB0ngXjXLQ289TZBcRBQ==" spinCount="100000" sheet="1" objects="1" scenarios="1"/>
  <mergeCells count="6">
    <mergeCell ref="A64:G64"/>
    <mergeCell ref="F4:I6"/>
    <mergeCell ref="A5:E5"/>
    <mergeCell ref="B62:G62"/>
    <mergeCell ref="A63:G63"/>
    <mergeCell ref="A13:B14"/>
  </mergeCells>
  <conditionalFormatting sqref="D6">
    <cfRule type="expression" dxfId="151" priority="7">
      <formula>$D$4=4</formula>
    </cfRule>
    <cfRule type="expression" dxfId="150" priority="8">
      <formula>$D$4&lt;&gt;4</formula>
    </cfRule>
  </conditionalFormatting>
  <conditionalFormatting sqref="F4:I6">
    <cfRule type="expression" dxfId="149" priority="6">
      <formula>$D$4=4</formula>
    </cfRule>
  </conditionalFormatting>
  <conditionalFormatting sqref="A13">
    <cfRule type="expression" dxfId="148" priority="4">
      <formula>SUM($D$44:$D$45)&gt;0</formula>
    </cfRule>
  </conditionalFormatting>
  <dataValidations count="6">
    <dataValidation type="list" allowBlank="1" showInputMessage="1" showErrorMessage="1" sqref="D6" xr:uid="{00000000-0002-0000-1400-000000000000}">
      <formula1>$K$1:$K$2</formula1>
    </dataValidation>
    <dataValidation type="list" allowBlank="1" showInputMessage="1" showErrorMessage="1" sqref="E4" xr:uid="{00000000-0002-0000-1400-000001000000}">
      <formula1>$K$66</formula1>
    </dataValidation>
    <dataValidation type="list" allowBlank="1" showInputMessage="1" showErrorMessage="1" sqref="E6" xr:uid="{00000000-0002-0000-1400-000002000000}">
      <formula1>"stříbrná,zlatá,oliva"</formula1>
      <formula2>0</formula2>
    </dataValidation>
    <dataValidation type="whole" allowBlank="1" showInputMessage="1" showErrorMessage="1" errorTitle="Nelze" error="Maximální výška otvoru je 2738 mm" promptTitle="Maximální výška otvoru je 2738mm" sqref="B4" xr:uid="{00000000-0002-0000-1400-000003000000}">
      <formula1>0</formula1>
      <formula2>2738</formula2>
    </dataValidation>
    <dataValidation type="whole" allowBlank="1" showInputMessage="1" showErrorMessage="1" errorTitle="STOP" error="Max. 6000 mm" promptTitle="Maximální šířka otvoru je 4300mm" sqref="C4" xr:uid="{00000000-0002-0000-14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400-000005000000}">
      <formula1>0</formula1>
      <formula2>9</formula2>
    </dataValidation>
  </dataValidations>
  <hyperlinks>
    <hyperlink ref="A2" location="profil!A1" display="Prosper  systém Maxim" xr:uid="{00000000-0004-0000-1400-000000000000}"/>
    <hyperlink ref="A60" location="příslušenství!A56" display="příslušenství!A56" xr:uid="{00000000-0004-0000-1400-000001000000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EAB096F-CBCA-49BC-91D1-FEF5D28611D8}">
            <xm:f>$I27=texty!$A$250</xm:f>
            <x14:dxf>
              <font>
                <color rgb="FFFF0000"/>
              </font>
            </x14:dxf>
          </x14:cfRule>
          <xm:sqref>I27:I58</xm:sqref>
        </x14:conditionalFormatting>
        <x14:conditionalFormatting xmlns:xm="http://schemas.microsoft.com/office/excel/2006/main">
          <x14:cfRule type="expression" priority="1" id="{C627F968-16BA-408B-9020-8D92588C1089}">
            <xm:f>$I27=texty!$A$250</xm:f>
            <x14:dxf>
              <font>
                <color rgb="FFFF0000"/>
              </font>
            </x14:dxf>
          </x14:cfRule>
          <xm:sqref>A27:H58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298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46.5" style="5" bestFit="1" customWidth="1"/>
    <col min="4" max="4" width="13.6640625" style="5" customWidth="1"/>
    <col min="5" max="5" width="14.6640625" style="5" customWidth="1"/>
    <col min="6" max="6" width="18.6640625" style="5" bestFit="1" customWidth="1"/>
    <col min="7" max="7" width="14.6640625" style="5" customWidth="1"/>
    <col min="8" max="8" width="4.83203125" style="5" customWidth="1"/>
    <col min="9" max="9" width="24.6640625" style="6" customWidth="1"/>
    <col min="10" max="11" width="12.16406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8.832031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-9.75</v>
      </c>
    </row>
    <row r="2" spans="1:16" ht="18.75" customHeight="1">
      <c r="A2" s="538" t="s">
        <v>1040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16" ht="25.5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60" t="str">
        <f>+System10!B5</f>
        <v>vypíšte týchto 5 políčok !!! Údaje v mm</v>
      </c>
      <c r="C5" s="660"/>
      <c r="D5" s="660"/>
      <c r="E5" s="660"/>
      <c r="F5" s="660"/>
      <c r="G5" s="656"/>
      <c r="H5" s="656"/>
      <c r="I5" s="656"/>
      <c r="K5" s="195"/>
      <c r="L5" s="17">
        <f>IF(C4&lt;1701,1700,IF(C4&lt;2351,2350,IF(C4&lt;3001,3000,IF(C4&lt;4051,4050,6000))))</f>
        <v>1700</v>
      </c>
      <c r="M5" s="21"/>
      <c r="N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23" t="str">
        <f>CONCATENATE(L5,"-",E4)</f>
        <v xml:space="preserve">1700-strieborná </v>
      </c>
      <c r="M6" s="21"/>
      <c r="N6" s="23" t="str">
        <f>CONCATENATE(N5,"-",E4,", ",F4)</f>
        <v>1700-strieborná , Elegant II</v>
      </c>
    </row>
    <row r="7" spans="1:16" ht="12.75" customHeight="1">
      <c r="A7" s="10" t="str">
        <f>texty!A47</f>
        <v>krídlo dverí:</v>
      </c>
      <c r="B7" s="57">
        <f>+B4-42</f>
        <v>-42</v>
      </c>
      <c r="C7" s="59">
        <f>+((C4-3+36*(D4-1))/D4+IF(AND(D4=4,D6=2),M1,0))</f>
        <v>23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texty!$A$48</f>
        <v>rozmer výplne 18mm:</v>
      </c>
      <c r="B8" s="57">
        <f>+B7-2</f>
        <v>-44</v>
      </c>
      <c r="C8" s="59">
        <f>+C7-22</f>
        <v>1</v>
      </c>
      <c r="D8" s="8"/>
      <c r="E8" s="8"/>
      <c r="F8" s="8"/>
      <c r="G8" s="5" t="str">
        <f>System10!G11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texty!A49</f>
        <v>rozmer výplne 12mm:</v>
      </c>
      <c r="B9" s="57">
        <f>+B8</f>
        <v>-44</v>
      </c>
      <c r="C9" s="59">
        <f>+C7-7</f>
        <v>16</v>
      </c>
      <c r="D9" s="8"/>
      <c r="E9" s="8"/>
      <c r="F9" s="8"/>
      <c r="G9" s="50"/>
      <c r="H9" s="6"/>
      <c r="L9" s="37"/>
      <c r="M9" s="36"/>
    </row>
    <row r="10" spans="1:16" ht="12.75" customHeight="1">
      <c r="A10" s="10" t="str">
        <f>texty!A50</f>
        <v>rozmer zrkadla /na DTD 12mm/</v>
      </c>
      <c r="B10" s="61">
        <f>+B8-4</f>
        <v>-48</v>
      </c>
      <c r="C10" s="66">
        <f>+C9-20</f>
        <v>-4</v>
      </c>
      <c r="D10" s="8"/>
      <c r="E10" s="8"/>
      <c r="F10" s="8"/>
      <c r="G10" s="49"/>
      <c r="H10" s="6"/>
      <c r="O10" s="17"/>
      <c r="P10" s="21"/>
    </row>
    <row r="11" spans="1:16" ht="13">
      <c r="A11" s="10" t="str">
        <f>texty!$A$51</f>
        <v>Dĺžka úchytkového profilu (+2 mm)</v>
      </c>
      <c r="B11" s="68">
        <f>B8+2</f>
        <v>-42</v>
      </c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174"/>
      <c r="D12" s="8"/>
      <c r="E12" s="8"/>
      <c r="F12" s="8"/>
      <c r="G12" s="3"/>
      <c r="H12" s="6"/>
      <c r="L12" s="36"/>
      <c r="O12" s="23"/>
      <c r="P12" s="21"/>
    </row>
    <row r="13" spans="1:16" ht="26">
      <c r="A13" s="644" t="str">
        <f>IF(SUM(D39:D40)&gt;0,texty!A246,"")</f>
        <v/>
      </c>
      <c r="B13" s="644"/>
      <c r="C13" s="497" t="str">
        <f>texty!A78</f>
        <v>dodatočné odpočty výšky vypočítaných výplní pri použití deliacich profilov výplne:</v>
      </c>
      <c r="D13" s="8"/>
      <c r="E13" s="8"/>
      <c r="F13" s="8"/>
      <c r="G13" s="6"/>
      <c r="H13" s="6"/>
      <c r="L13" s="6"/>
    </row>
    <row r="14" spans="1:16" ht="17.25" customHeight="1">
      <c r="A14" s="644"/>
      <c r="B14" s="644"/>
      <c r="C14" s="497"/>
      <c r="D14" s="8"/>
      <c r="E14" s="8"/>
      <c r="F14" s="8"/>
      <c r="G14" s="6"/>
      <c r="H14" s="6"/>
      <c r="L14" s="6"/>
    </row>
    <row r="15" spans="1:16" ht="12.75" customHeight="1">
      <c r="B15" s="58"/>
      <c r="C15" s="87"/>
      <c r="D15" s="8"/>
      <c r="E15" s="8"/>
      <c r="F15" s="8"/>
      <c r="H15" s="6"/>
      <c r="L15" s="35"/>
    </row>
    <row r="16" spans="1:16" ht="12.75" customHeight="1">
      <c r="A16" s="10"/>
      <c r="B16" s="8"/>
      <c r="C16" s="12"/>
      <c r="D16" s="8"/>
      <c r="E16" s="8"/>
      <c r="F16" s="8"/>
      <c r="H16" s="40"/>
      <c r="I16" s="647" t="s">
        <v>2890</v>
      </c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H17" s="6"/>
      <c r="I17" s="647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H19" s="6"/>
      <c r="I19" s="648"/>
      <c r="L19" s="6"/>
    </row>
    <row r="20" spans="1:12" ht="16.5" customHeight="1">
      <c r="A20" s="7"/>
      <c r="B20" s="8"/>
      <c r="C20" s="8"/>
      <c r="E20" s="8"/>
      <c r="F20" s="8"/>
      <c r="G20" s="6"/>
      <c r="H20" s="6"/>
      <c r="L20" s="6"/>
    </row>
    <row r="21" spans="1:12" ht="16.5" customHeight="1">
      <c r="A21" s="499" t="s">
        <v>2954</v>
      </c>
      <c r="B21" s="520" t="s">
        <v>2961</v>
      </c>
      <c r="C21" s="8"/>
      <c r="D21" s="13"/>
      <c r="E21" s="8"/>
      <c r="F21" s="8"/>
      <c r="G21" s="6"/>
      <c r="H21" s="6"/>
      <c r="L21" s="5">
        <v>4.8</v>
      </c>
    </row>
    <row r="22" spans="1:12" ht="12.75" customHeight="1">
      <c r="A22" s="7"/>
      <c r="B22" s="8"/>
      <c r="C22" s="8"/>
      <c r="D22" s="8"/>
      <c r="E22" s="8"/>
      <c r="F22" s="6"/>
      <c r="G22" s="135" t="str">
        <f>+System10!G25</f>
        <v>partnerská zľava:</v>
      </c>
      <c r="H22" s="6"/>
      <c r="L22" s="5" t="str">
        <f>CONCATENATE(L21,"-",E4)</f>
        <v xml:space="preserve">4,8-strieborná </v>
      </c>
    </row>
    <row r="23" spans="1:12" ht="12.75" customHeight="1">
      <c r="A23" s="132" t="str">
        <f>System10!A26</f>
        <v>Objednávacie kódy, ceny:</v>
      </c>
      <c r="B23" s="8"/>
      <c r="C23" s="8"/>
      <c r="D23" s="8"/>
      <c r="E23" s="8"/>
      <c r="F23" s="6"/>
      <c r="G23" s="144">
        <f>profil!C15</f>
        <v>0</v>
      </c>
      <c r="H23" s="6" t="s">
        <v>70</v>
      </c>
      <c r="L23" s="6"/>
    </row>
    <row r="24" spans="1:12" s="83" customFormat="1" ht="12.75" customHeight="1">
      <c r="A24" s="81"/>
      <c r="B24" s="82" t="str">
        <f>+System10!B27</f>
        <v>kód</v>
      </c>
      <c r="C24" s="82" t="str">
        <f>+System10!C27</f>
        <v>názov</v>
      </c>
      <c r="D24" s="82" t="str">
        <f>+System10!D27</f>
        <v>ks</v>
      </c>
      <c r="E24" s="82" t="str">
        <f>+System10!E27</f>
        <v>cena/ks</v>
      </c>
      <c r="F24" s="18" t="str">
        <f>+System10!F27</f>
        <v>cena celkom</v>
      </c>
      <c r="G24" s="18" t="str">
        <f>+System10!G27</f>
        <v>celkom netto:</v>
      </c>
      <c r="H24" s="18"/>
      <c r="I24" s="18" t="str">
        <f>texty!A29</f>
        <v>Poznámka:</v>
      </c>
      <c r="K24" s="18"/>
      <c r="L24" s="18"/>
    </row>
    <row r="25" spans="1:12" ht="12.75" customHeight="1">
      <c r="A25" s="7" t="str">
        <f>texty!A106</f>
        <v>Horný profil:</v>
      </c>
      <c r="B25" s="8">
        <f>+VLOOKUP(L6,data!$C$176:$D$224,2,0)</f>
        <v>89106</v>
      </c>
      <c r="C25" s="25" t="str">
        <f>+VLOOKUP(B25,cennik!$A:$G,2,FALSE)</f>
        <v>SEVROLL Gemini horné vedenie 1,7m strieborná</v>
      </c>
      <c r="D25" s="17">
        <f>IF(B25="N/A",0,1)</f>
        <v>1</v>
      </c>
      <c r="E25" s="92">
        <f>+VLOOKUP(B25,cennik!$A:$G,3,FALSE)</f>
        <v>16.077369999999998</v>
      </c>
      <c r="F25" s="92">
        <f t="shared" ref="F25:F31" si="0"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K25" s="196" t="str">
        <f>IF(D25&gt;0,IF(VLOOKUP(B25,cennik!A:L,12,FALSE)="O",1,""),"")</f>
        <v/>
      </c>
      <c r="L25" s="6"/>
    </row>
    <row r="26" spans="1:12" ht="12.75" customHeight="1">
      <c r="A26" s="7" t="str">
        <f>texty!A107</f>
        <v>spodný profil:</v>
      </c>
      <c r="B26" s="16">
        <f>+VLOOKUP(N6,data!$C$4:$D$88,2,0)</f>
        <v>84385</v>
      </c>
      <c r="C26" s="25" t="str">
        <f>IF($B$26=data!$D$54,texty!$A$239,+VLOOKUP($B$26,cennik!$A:$G,2,FALSE))</f>
        <v>SEVROLL Elegant spodné vedenie 1,7m striebor</v>
      </c>
      <c r="D26" s="17">
        <v>1</v>
      </c>
      <c r="E26" s="92">
        <f>IF(B26=data!$D$63,0,+VLOOKUP(B26,cennik!$A:$G,3,FALSE))</f>
        <v>9.0389999999999997</v>
      </c>
      <c r="F26" s="92">
        <f t="shared" si="0"/>
        <v>9.0389999999999997</v>
      </c>
      <c r="G26" s="93">
        <f t="shared" ref="G26:G31" si="1">+F26*(100-$G$23)/100</f>
        <v>9.0389999999999997</v>
      </c>
      <c r="H26" s="24" t="str">
        <f>cennik!$B$2</f>
        <v>EUR</v>
      </c>
      <c r="I26" s="483" t="str">
        <f>IFERROR(IF((VLOOKUP(B26,cennik!A:L,12,0))="O",texty!$A$250,""),"")</f>
        <v/>
      </c>
      <c r="K26" s="196" t="str">
        <f>IF(D26&gt;0,IF(VLOOKUP(B26,cennik!A:L,12,FALSE)="O",1,""),"")</f>
        <v/>
      </c>
      <c r="L26" s="6"/>
    </row>
    <row r="27" spans="1:12" ht="12.75" customHeight="1">
      <c r="A27" s="436" t="str">
        <f>texty!A83</f>
        <v>krycí profil (maska):</v>
      </c>
      <c r="B27" s="16">
        <f>+VLOOKUP(N6,data!$C$90:$D$175,2,0)</f>
        <v>318657</v>
      </c>
      <c r="C27" s="25" t="str">
        <f>IF($B$27=data!$D$54,texty!$A$239,+VLOOKUP($B$27,cennik!$A:$G,2,FALSE))</f>
        <v>SEV-maska Elegant II 1,7m strieborná</v>
      </c>
      <c r="D27" s="17">
        <v>1</v>
      </c>
      <c r="E27" s="92">
        <f>IF(B27=data!$D$63,0,+VLOOKUP(B27,cennik!$A:$G,3,FALSE))</f>
        <v>2.8683800000000002</v>
      </c>
      <c r="F27" s="92">
        <f t="shared" si="0"/>
        <v>2.8683800000000002</v>
      </c>
      <c r="G27" s="93">
        <f t="shared" si="1"/>
        <v>2.8683800000000002</v>
      </c>
      <c r="H27" s="24" t="str">
        <f>cennik!$B$2</f>
        <v>EUR</v>
      </c>
      <c r="I27" s="483" t="str">
        <f>IFERROR(IF((VLOOKUP(B27,cennik!A:L,12,0))="O",texty!$A$250,""),"")</f>
        <v/>
      </c>
      <c r="K27" s="196" t="str">
        <f>IF(D27&gt;0,IF(VLOOKUP(B27,cennik!A:L,12,FALSE)="O",1,""),"")</f>
        <v/>
      </c>
      <c r="L27" s="6"/>
    </row>
    <row r="28" spans="1:12" ht="12.75" customHeight="1">
      <c r="A28" s="7" t="str">
        <f>texty!A109</f>
        <v>horný vozík</v>
      </c>
      <c r="B28" s="16">
        <v>228023</v>
      </c>
      <c r="C28" s="25" t="str">
        <f>+VLOOKUP(B28,cennik!$A$3:$G$984,2,FALSE)</f>
        <v>SEVROLL Focus horný vozík 18mm - 2ks</v>
      </c>
      <c r="D28" s="17">
        <f>IF((D41+D42)&gt;D4,0,D4-(D41+D42))</f>
        <v>3</v>
      </c>
      <c r="E28" s="92">
        <f>+VLOOKUP(B28,cennik!$A:$G,3,FALSE)</f>
        <v>4.0494700000000003</v>
      </c>
      <c r="F28" s="92">
        <f t="shared" si="0"/>
        <v>12.148410000000002</v>
      </c>
      <c r="G28" s="93">
        <f t="shared" si="1"/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</row>
    <row r="29" spans="1:12" ht="12.75" customHeight="1">
      <c r="A29" s="7" t="str">
        <f>texty!A110</f>
        <v>spodný vozík</v>
      </c>
      <c r="B29" s="16">
        <f>IF(F4=M64,362316,229440)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92">
        <f>+VLOOKUP(B29,cennik!$A:$G,3,FALSE)</f>
        <v>4.5556599999999996</v>
      </c>
      <c r="F29" s="92">
        <f t="shared" si="0"/>
        <v>13.666979999999999</v>
      </c>
      <c r="G29" s="93">
        <f t="shared" si="1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/>
    </row>
    <row r="30" spans="1:12" ht="12.75" customHeight="1">
      <c r="A30" s="7" t="str">
        <f>texty!A89</f>
        <v>dorazový kartáč</v>
      </c>
      <c r="B30" s="16">
        <f>+VLOOKUP(L22,data!$C$695:$D$714,2,0)</f>
        <v>229433</v>
      </c>
      <c r="C30" s="25" t="str">
        <f>+VLOOKUP(B30,cennik!$A:$G,2,FALSE)</f>
        <v>SEVROLL dorazový kartáč zásuvný 4,8x4mm</v>
      </c>
      <c r="D30" s="17">
        <f>CEILING((B4*D4*2/1000),1)</f>
        <v>0</v>
      </c>
      <c r="E30" s="92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/>
    </row>
    <row r="31" spans="1:12" ht="12.75" customHeight="1">
      <c r="A31" s="7" t="str">
        <f>texty!A113</f>
        <v>úchytková lišta</v>
      </c>
      <c r="B31" s="16">
        <f>+VLOOKUP(P7,data!$C$455:$D$461,2,0)</f>
        <v>222788</v>
      </c>
      <c r="C31" s="38" t="str">
        <f>+VLOOKUP(B31,cennik!$A:$G,2,FALSE)</f>
        <v>SEVROLL Alfa II úch.lišta 18mm 2,7m strieborná</v>
      </c>
      <c r="D31" s="17">
        <f>IF(B11&lt;=1347,D4*2/2,D4*2)</f>
        <v>3</v>
      </c>
      <c r="E31" s="219">
        <f>+VLOOKUP(B31,cennik!$A:$G,3,FALSE)</f>
        <v>14.149050000000001</v>
      </c>
      <c r="F31" s="106">
        <f t="shared" si="0"/>
        <v>42.447150000000001</v>
      </c>
      <c r="G31" s="93">
        <f t="shared" si="1"/>
        <v>42.447150000000001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106"/>
      <c r="G32" s="105"/>
      <c r="H32" s="6"/>
      <c r="I32" s="483" t="str">
        <f>IFERROR(IF((VLOOKUP(B32,cennik!A:L,12,0))="O",texty!$A$250,""),"")</f>
        <v/>
      </c>
      <c r="K32" s="186"/>
      <c r="L32" s="6"/>
    </row>
    <row r="33" spans="1:12" s="129" customFormat="1" ht="12.75" customHeight="1">
      <c r="A33" s="14" t="str">
        <f>texty!$A$66</f>
        <v>Voliteľné príslušenstvo:</v>
      </c>
      <c r="B33" s="124"/>
      <c r="C33" s="125"/>
      <c r="D33" s="491" t="str">
        <f>System10!$D$41</f>
        <v>zadajte počet:</v>
      </c>
      <c r="E33" s="133"/>
      <c r="F33" s="126"/>
      <c r="G33" s="127"/>
      <c r="H33" s="128"/>
      <c r="I33" s="483" t="str">
        <f>IFERROR(IF((VLOOKUP(B33,cennik!A:L,12,0))="O",texty!$A$250,""),"")</f>
        <v/>
      </c>
      <c r="K33" s="187"/>
      <c r="L33" s="128"/>
    </row>
    <row r="34" spans="1:12" s="129" customFormat="1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/>
      <c r="K34" s="196" t="str">
        <f>IF(D34&gt;0,IF(VLOOKUP(B34,cennik!A:L,12,FALSE)="O",1,""),"")</f>
        <v/>
      </c>
      <c r="L34" s="128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2">+E35*D35</f>
        <v>0</v>
      </c>
      <c r="G35" s="105">
        <f t="shared" ref="G35:G57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/>
      <c r="K35" s="196" t="str">
        <f>IF(D35&gt;0,IF(VLOOKUP(B35,cennik!A:L,12,FALSE)="O",1,""),"")</f>
        <v/>
      </c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/>
      <c r="K36" s="196" t="str">
        <f>IF(D36&gt;0,IF(VLOOKUP(B36,cennik!A:L,12,FALSE)="O",1,""),"")</f>
        <v/>
      </c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/>
      <c r="K37" s="196" t="str">
        <f>IF(D37&gt;0,IF(VLOOKUP(B37,cennik!A:L,12,FALSE)="O",1,""),"")</f>
        <v/>
      </c>
      <c r="L37" s="6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/>
      <c r="K38" s="196" t="str">
        <f>IF(D38&gt;0,IF(VLOOKUP(B38,cennik!A:L,12,FALSE)="O",1,""),"")</f>
        <v/>
      </c>
      <c r="L38" s="6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/>
      <c r="K39" s="196" t="str">
        <f>IF(D39&gt;0,IF(VLOOKUP(B39,cennik!A:L,12,FALSE)="O",1,""),"")</f>
        <v/>
      </c>
      <c r="L39" s="6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/>
      <c r="K40" s="196" t="str">
        <f>IF(D40&gt;0,IF(VLOOKUP(B40,cennik!A:L,12,FALSE)="O",1,""),"")</f>
        <v/>
      </c>
      <c r="L40" s="6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/>
      <c r="K41" s="196" t="str">
        <f>IF(D41&gt;0,IF(VLOOKUP(B41,cennik!A:L,12,FALSE)="O",1,""),"")</f>
        <v/>
      </c>
      <c r="L41" s="6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/>
      <c r="K42" s="196" t="str">
        <f>IF(D42&gt;0,IF(VLOOKUP(B42,cennik!A:L,12,FALSE)="O",1,""),"")</f>
        <v/>
      </c>
      <c r="L42" s="6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/>
      <c r="K43" s="196" t="str">
        <f>IF(D43&gt;0,IF(VLOOKUP(B43,cennik!A:L,12,FALSE)="O",1,""),"")</f>
        <v/>
      </c>
      <c r="L43" s="6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/>
      <c r="K44" s="196" t="str">
        <f>IF(D44&gt;0,IF(VLOOKUP(B44,cennik!A:L,12,FALSE)="O",1,""),"")</f>
        <v/>
      </c>
      <c r="L44" s="6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/>
      <c r="K45" s="196" t="str">
        <f>IF(D45&gt;0,IF(VLOOKUP(B45,cennik!A:L,12,FALSE)="O",1,""),"")</f>
        <v/>
      </c>
      <c r="L45" s="3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/>
      <c r="K46" s="196" t="str">
        <f>IF(D46&gt;0,IF(VLOOKUP(B46,cennik!A:L,12,FALSE)="O",1,""),"")</f>
        <v/>
      </c>
      <c r="L46" s="3"/>
    </row>
    <row r="47" spans="1:12" ht="12.75" customHeight="1">
      <c r="A47" s="146" t="str">
        <f>texty!$A$117</f>
        <v>"U" profil na DTD 18mm - 3 metre /hladký/</v>
      </c>
      <c r="B47" s="1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/>
      <c r="K47" s="196" t="str">
        <f>IF(D47&gt;0,IF(VLOOKUP(B47,cennik!A:L,12,FALSE)="O",1,""),"")</f>
        <v/>
      </c>
      <c r="L47" s="3"/>
    </row>
    <row r="48" spans="1:12" ht="12.75" customHeight="1">
      <c r="A48" s="146" t="str">
        <f>texty!$A$118</f>
        <v>"U" profil na DTD 18mm - 3 metre /lem/</v>
      </c>
      <c r="B48" s="16">
        <f>+VLOOKUP($P$7,data!$C$503:$D$512,2,0)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/>
      <c r="K48" s="196" t="str">
        <f>IF(D48&gt;0,IF(VLOOKUP(B48,cennik!A:L,12,FALSE)="O",1,""),"")</f>
        <v/>
      </c>
      <c r="L48" s="3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IF(B49=data!$D$54,texty!$A$239,+VLOOKUP(B49,cennik!$A:$G,2,FALSE))</f>
        <v>SEVROLL-182 UHOLNÍK 17*11 STRIEBOR. 1,7M</v>
      </c>
      <c r="D49" s="29"/>
      <c r="E49" s="92">
        <f>IF(B49=data!$D$63,0,+VLOOKUP(B49,cennik!$A:$G,3,FALSE))</f>
        <v>2.5309200000000001</v>
      </c>
      <c r="F49" s="92">
        <f>+E49*D49</f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/>
      <c r="K49" s="196" t="str">
        <f>IF(D49&gt;0,IF(VLOOKUP(B49,cennik!A:L,12,FALSE)="O",1,""),"")</f>
        <v/>
      </c>
      <c r="L49" s="3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IF(B50=data!$D$54,texty!$A$239,+VLOOKUP(B50,cennik!$A:$G,2,FALSE))</f>
        <v>SEVROLL-183 UHOLNÍK 17*11 STRIEBOR. 2,35</v>
      </c>
      <c r="D50" s="29"/>
      <c r="E50" s="92">
        <f>IF(B50=data!$D$63,0,+VLOOKUP(B50,cennik!$A:$G,3,FALSE))</f>
        <v>3.5673900000000001</v>
      </c>
      <c r="F50" s="92">
        <f>+E50*D50</f>
        <v>0</v>
      </c>
      <c r="G50" s="105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/>
      <c r="K50" s="196" t="str">
        <f>IF(D50&gt;0,IF(VLOOKUP(B50,cennik!A:L,12,FALSE)="O",1,""),"")</f>
        <v/>
      </c>
      <c r="L50" s="3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IF(B51=data!$D$54,texty!$A$239,+VLOOKUP(B51,cennik!$A:$G,2,FALSE))</f>
        <v>SEVROLL-184 UHOLNÍK 17*11 STRIEBOR. 3M</v>
      </c>
      <c r="D51" s="29"/>
      <c r="E51" s="92">
        <f>IF(B51=data!$D$63,0,+VLOOKUP(B51,cennik!$A:$G,3,FALSE))</f>
        <v>4.4833400000000001</v>
      </c>
      <c r="F51" s="92">
        <f>+E51*D51</f>
        <v>0</v>
      </c>
      <c r="G51" s="105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/>
      <c r="K51" s="196" t="str">
        <f>IF(D51&gt;0,IF(VLOOKUP(B51,cennik!A:L,12,FALSE)="O",1,""),"")</f>
        <v/>
      </c>
      <c r="L51" s="3"/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/>
      <c r="K52" s="196" t="str">
        <f>IF(D52&gt;0,IF(VLOOKUP(B52,cennik!A:L,12,FALSE)="O",1,""),"")</f>
        <v/>
      </c>
      <c r="L52" s="6"/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/>
      <c r="K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/>
      <c r="K54" s="196" t="str">
        <f>IF(D54&gt;0,IF(VLOOKUP(B54,cennik!A:L,12,FALSE)="O",1,""),"")</f>
        <v/>
      </c>
      <c r="L54" s="6"/>
    </row>
    <row r="55" spans="1:14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ref="F55" si="4">+E55*D55</f>
        <v>0</v>
      </c>
      <c r="G55" s="105">
        <f t="shared" ref="G55" si="5">+F55*(100-$G$23)/100</f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/>
      <c r="K55" s="196" t="str">
        <f>IF(D55&gt;0,IF(VLOOKUP(B55,cennik!A:L,12,FALSE)="O",1,""),"")</f>
        <v/>
      </c>
      <c r="L55" s="6"/>
    </row>
    <row r="56" spans="1:14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/>
      <c r="K56" s="196" t="str">
        <f>IF(D56&gt;0,IF(VLOOKUP(B56,cennik!A:L,12,FALSE)="O",1,""),"")</f>
        <v/>
      </c>
      <c r="L56" s="6"/>
    </row>
    <row r="57" spans="1:14" ht="12.75" customHeight="1">
      <c r="A57" s="7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2"/>
        <v>0</v>
      </c>
      <c r="G57" s="105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/>
      <c r="K57" s="196" t="str">
        <f>IF(D57&gt;0,IF(VLOOKUP(B57,cennik!A:L,12,FALSE)="O",1,""),"")</f>
        <v/>
      </c>
      <c r="L57" s="6"/>
    </row>
    <row r="58" spans="1:14" ht="12.75" customHeight="1">
      <c r="A58" s="146"/>
      <c r="B58" s="24"/>
      <c r="C58" s="25"/>
      <c r="D58" s="92"/>
      <c r="E58" s="92"/>
      <c r="F58" s="97"/>
      <c r="G58" s="105"/>
      <c r="H58" s="6"/>
      <c r="I58" s="186"/>
      <c r="K58" s="196"/>
      <c r="L58" s="6"/>
    </row>
    <row r="59" spans="1:14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K59" s="135"/>
      <c r="L59" s="6"/>
    </row>
    <row r="60" spans="1:14" ht="12.75" customHeight="1">
      <c r="A60" s="285" t="str">
        <f>texty!$A$244</f>
        <v>Technický nákres tohoto systému</v>
      </c>
      <c r="C60" s="74"/>
      <c r="D60" s="48" t="str">
        <f>texty!A15</f>
        <v>CELKOM  (bez DPH)</v>
      </c>
      <c r="E60" s="107"/>
      <c r="F60" s="108">
        <f>SUM(F25:F57)</f>
        <v>96.247289999999992</v>
      </c>
      <c r="G60" s="108">
        <f>SUM(G25:G57)</f>
        <v>96.247289999999992</v>
      </c>
      <c r="H60" s="6" t="str">
        <f>cennik!$B$2</f>
        <v>EUR</v>
      </c>
      <c r="I60" s="186"/>
      <c r="K60" s="186"/>
      <c r="L60" s="6"/>
    </row>
    <row r="61" spans="1:14" ht="12.75" customHeight="1">
      <c r="A61" s="76" t="str">
        <f>System10!$A$67</f>
        <v>Vaša poznámka:</v>
      </c>
      <c r="B61" s="670"/>
      <c r="C61" s="671"/>
      <c r="D61" s="671"/>
      <c r="E61" s="671"/>
      <c r="F61" s="671"/>
      <c r="G61" s="672"/>
      <c r="H61" s="6"/>
      <c r="L61" s="6"/>
    </row>
    <row r="62" spans="1:14" ht="12.75" customHeight="1">
      <c r="A62" s="668">
        <f>profil!$U$15</f>
        <v>0</v>
      </c>
      <c r="B62" s="658"/>
      <c r="C62" s="658"/>
      <c r="D62" s="658"/>
      <c r="E62" s="658"/>
      <c r="F62" s="658"/>
      <c r="G62" s="658"/>
      <c r="H62" s="658"/>
      <c r="L62" s="6"/>
    </row>
    <row r="63" spans="1:14" ht="12.75" customHeight="1">
      <c r="A63" s="659" t="str">
        <f>IF(N63=1,texty!$A$215,IF(K63&gt;0,texty!$A$214,""))</f>
        <v/>
      </c>
      <c r="B63" s="659"/>
      <c r="C63" s="659"/>
      <c r="D63" s="659"/>
      <c r="E63" s="659"/>
      <c r="F63" s="659"/>
      <c r="G63" s="659"/>
      <c r="H63" s="659"/>
      <c r="K63" s="6">
        <f>SUM(K25:K58)</f>
        <v>0</v>
      </c>
      <c r="N63" s="5">
        <f>IF(ISERROR(K63),1,0)</f>
        <v>0</v>
      </c>
    </row>
    <row r="64" spans="1:14" ht="12.75" hidden="1" customHeight="1">
      <c r="L64" s="5" t="str">
        <f>texty!A128</f>
        <v xml:space="preserve">strieborná </v>
      </c>
      <c r="M64" s="21" t="s">
        <v>2884</v>
      </c>
    </row>
    <row r="65" spans="12:13" ht="12.75" hidden="1" customHeight="1">
      <c r="L65" s="5" t="str">
        <f>texty!A129</f>
        <v>zlatá</v>
      </c>
      <c r="M65" s="21" t="s">
        <v>45</v>
      </c>
    </row>
    <row r="66" spans="12:13" ht="12.75" hidden="1" customHeight="1">
      <c r="L66" s="5" t="str">
        <f>texty!A130</f>
        <v>oliva</v>
      </c>
    </row>
    <row r="67" spans="12:13" ht="12.75" hidden="1" customHeight="1">
      <c r="L67" s="5" t="str">
        <f>data!J15</f>
        <v>biela lesk</v>
      </c>
    </row>
    <row r="68" spans="12:13" ht="12.75" hidden="1" customHeight="1">
      <c r="L68" s="5" t="str">
        <f>data!J18</f>
        <v>biela mat</v>
      </c>
    </row>
    <row r="69" spans="12:13" ht="12.75" hidden="1" customHeight="1">
      <c r="L69" s="5" t="str">
        <f>data!J16</f>
        <v>čierna lesk</v>
      </c>
    </row>
    <row r="70" spans="12:13" ht="12.75" hidden="1" customHeight="1">
      <c r="L70" s="5" t="str">
        <f>data!J17</f>
        <v>čierna mat</v>
      </c>
    </row>
    <row r="298" spans="3:10" ht="12.75" hidden="1" customHeight="1">
      <c r="C298" s="5">
        <f>$K$15</f>
        <v>0</v>
      </c>
      <c r="D298" s="5">
        <v>276730</v>
      </c>
      <c r="J298" s="6">
        <f>$K$15</f>
        <v>0</v>
      </c>
    </row>
  </sheetData>
  <sheetProtection algorithmName="SHA-512" hashValue="Au77sLaS3A1kMJfGLDhImyJzeox3cozgadGwC3Xp3G3y/6CloRHII7gQduqwmc/YEdH+BH53lfvF6x1Tip09lg==" saltValue="UQf/Uvq0quxmQzoMVTsceg==" spinCount="100000" sheet="1" objects="1" scenarios="1"/>
  <dataConsolidate/>
  <mergeCells count="8">
    <mergeCell ref="A63:H63"/>
    <mergeCell ref="A62:H62"/>
    <mergeCell ref="G4:I6"/>
    <mergeCell ref="I16:I17"/>
    <mergeCell ref="I18:I19"/>
    <mergeCell ref="B61:G61"/>
    <mergeCell ref="B5:F5"/>
    <mergeCell ref="A13:B14"/>
  </mergeCells>
  <conditionalFormatting sqref="D6">
    <cfRule type="expression" dxfId="145" priority="7">
      <formula>$D$4=4</formula>
    </cfRule>
    <cfRule type="expression" dxfId="144" priority="8">
      <formula>$D$4&lt;&gt;4</formula>
    </cfRule>
  </conditionalFormatting>
  <conditionalFormatting sqref="G4">
    <cfRule type="expression" dxfId="143" priority="6">
      <formula>$D$4=4</formula>
    </cfRule>
  </conditionalFormatting>
  <conditionalFormatting sqref="I16:I17">
    <cfRule type="expression" dxfId="142" priority="33">
      <formula>$F$4=$M$65</formula>
    </cfRule>
  </conditionalFormatting>
  <conditionalFormatting sqref="I18:I19">
    <cfRule type="expression" dxfId="141" priority="37">
      <formula>$F$4=$M$64</formula>
    </cfRule>
  </conditionalFormatting>
  <conditionalFormatting sqref="A13">
    <cfRule type="expression" dxfId="140" priority="3">
      <formula>SUM($D$39:$D$40)&gt;0</formula>
    </cfRule>
  </conditionalFormatting>
  <dataValidations count="7">
    <dataValidation type="list" allowBlank="1" showInputMessage="1" showErrorMessage="1" sqref="E4" xr:uid="{00000000-0002-0000-1500-000000000000}">
      <formula1>$L$64:$L$70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E6" xr:uid="{00000000-0002-0000-1500-000004000000}">
      <formula1>"stříbrná,zlatá,oliva"</formula1>
      <formula2>0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$M$64:$M$65</formula1>
    </dataValidation>
  </dataValidations>
  <hyperlinks>
    <hyperlink ref="A2" location="profil!A1" display="ALFA" xr:uid="{00000000-0004-0000-1500-000000000000}"/>
    <hyperlink ref="A59" location="příslušenství!A56" display="příslušenství!A56" xr:uid="{00000000-0004-0000-1500-000001000000}"/>
    <hyperlink ref="A60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F804B60-252E-4B31-9EFC-CB2AB6DAD8C4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A9EC53B9-6DE0-4324-9477-3D6C0BE551C9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.1640625" style="5" customWidth="1"/>
    <col min="2" max="2" width="15.83203125" style="5" customWidth="1"/>
    <col min="3" max="3" width="46.5" style="5" bestFit="1" customWidth="1"/>
    <col min="4" max="4" width="13.6640625" style="5" customWidth="1"/>
    <col min="5" max="7" width="14.6640625" style="5" customWidth="1"/>
    <col min="8" max="8" width="4.83203125" style="5" customWidth="1"/>
    <col min="9" max="9" width="30.83203125" style="6" customWidth="1"/>
    <col min="10" max="11" width="12.16406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-5.25</v>
      </c>
    </row>
    <row r="2" spans="1:16" ht="18.75" customHeight="1">
      <c r="A2" s="538" t="s">
        <v>1183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",5,".",68)</f>
        <v>katalóg kovania 2018 str. 5.68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16" ht="25.5" customHeight="1">
      <c r="A4" s="10" t="str">
        <f>+System10!A4</f>
        <v>VNÚTORNÝ ROZMER SKRINE:</v>
      </c>
      <c r="B4" s="56"/>
      <c r="C4" s="56"/>
      <c r="D4" s="22">
        <v>3</v>
      </c>
      <c r="E4" s="221" t="s">
        <v>416</v>
      </c>
      <c r="F4" s="472" t="s">
        <v>2884</v>
      </c>
      <c r="G4" s="656"/>
      <c r="H4" s="656"/>
      <c r="I4" s="656"/>
      <c r="K4" s="195"/>
      <c r="L4" s="8"/>
      <c r="M4" s="17"/>
      <c r="N4" s="21"/>
      <c r="O4" s="17"/>
    </row>
    <row r="5" spans="1:16" ht="18" customHeight="1">
      <c r="A5" s="10"/>
      <c r="B5" s="673" t="str">
        <f>+System10!B5</f>
        <v>vypíšte týchto 5 políčok !!! Údaje v mm</v>
      </c>
      <c r="C5" s="673"/>
      <c r="D5" s="673"/>
      <c r="E5" s="673"/>
      <c r="F5" s="8"/>
      <c r="G5" s="656"/>
      <c r="H5" s="656"/>
      <c r="I5" s="656"/>
      <c r="K5" s="195"/>
      <c r="L5" s="17">
        <f>IF(C4&lt;1701,1700,IF(C4&lt;2351,2350,IF(C4&lt;3001,3000,IF(C4&lt;4051,4050,6000))))</f>
        <v>1700</v>
      </c>
      <c r="M5" s="21"/>
      <c r="N5" s="17">
        <f>IF(C4&lt;1701,1700,IF(C4&lt;2351,2350,IF(C4&lt;3001,3000,IF(C4&lt;4051,4050,6000))))</f>
        <v>1700</v>
      </c>
      <c r="O5" s="23"/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23" t="str">
        <f>CONCATENATE(L5,"-",E4)</f>
        <v xml:space="preserve">1700-strieborná </v>
      </c>
      <c r="M6" s="21"/>
      <c r="N6" s="23" t="str">
        <f>CONCATENATE(N5,"-",E4,", ",F4)</f>
        <v>1700-strieborná , Elegant II</v>
      </c>
    </row>
    <row r="7" spans="1:16" ht="12.75" customHeight="1">
      <c r="A7" s="10" t="str">
        <f>texty!A47</f>
        <v>krídlo dverí:</v>
      </c>
      <c r="B7" s="57">
        <f>+B4-42</f>
        <v>-42</v>
      </c>
      <c r="C7" s="59">
        <f>+((C4-3+18*(D4-1))/D4+IF(AND(D4=4,D6=2),M1,0))</f>
        <v>11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texty!$A$48</f>
        <v>rozmer výplne 18mm:</v>
      </c>
      <c r="B8" s="57">
        <f>+B7-2</f>
        <v>-44</v>
      </c>
      <c r="C8" s="59">
        <f>+C7-19</f>
        <v>-8</v>
      </c>
      <c r="D8" s="8"/>
      <c r="E8" s="8"/>
      <c r="F8" s="8"/>
      <c r="G8" s="5" t="str">
        <f>System10!G11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texty!A49</f>
        <v>rozmer výplne 12mm:</v>
      </c>
      <c r="B9" s="57">
        <f>+B8</f>
        <v>-44</v>
      </c>
      <c r="C9" s="59">
        <f>+C7-7</f>
        <v>4</v>
      </c>
      <c r="D9" s="8"/>
      <c r="E9" s="8"/>
      <c r="F9" s="8"/>
      <c r="G9" s="50"/>
      <c r="H9" s="6"/>
      <c r="L9" s="37"/>
      <c r="M9" s="36"/>
    </row>
    <row r="10" spans="1:16" ht="12.75" customHeight="1">
      <c r="A10" s="10" t="str">
        <f>texty!A50</f>
        <v>rozmer zrkadla /na DTD 12mm/</v>
      </c>
      <c r="B10" s="61">
        <f>+B8-4</f>
        <v>-48</v>
      </c>
      <c r="C10" s="59">
        <f>+C9-16</f>
        <v>-12</v>
      </c>
      <c r="D10" s="8"/>
      <c r="E10" s="8"/>
      <c r="F10" s="8"/>
      <c r="G10" s="49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68">
        <f>B8+2</f>
        <v>-42</v>
      </c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174"/>
      <c r="D12" s="8"/>
      <c r="E12" s="8"/>
      <c r="F12" s="8"/>
      <c r="G12" s="3"/>
      <c r="H12" s="6"/>
      <c r="L12" s="36"/>
      <c r="O12" s="23"/>
      <c r="P12" s="21"/>
    </row>
    <row r="13" spans="1:16" ht="29" customHeight="1">
      <c r="A13" s="644" t="str">
        <f>IF(SUM(D40:D41)&gt;0,texty!A246,"")</f>
        <v/>
      </c>
      <c r="B13" s="644"/>
      <c r="C13" s="506" t="str">
        <f>texty!A78</f>
        <v>dodatočné odpočty výšky vypočítaných výplní pri použití deliacich profilov výplne:</v>
      </c>
      <c r="D13" s="8"/>
      <c r="E13" s="8"/>
      <c r="F13" s="8"/>
      <c r="G13" s="6"/>
      <c r="H13" s="6"/>
      <c r="L13" s="6"/>
    </row>
    <row r="14" spans="1:16" ht="17.25" customHeight="1">
      <c r="A14" s="644"/>
      <c r="B14" s="644"/>
      <c r="C14" s="506"/>
      <c r="D14" s="8"/>
      <c r="E14" s="8"/>
      <c r="F14" s="8"/>
      <c r="G14" s="6"/>
      <c r="H14" s="6"/>
      <c r="L14" s="6"/>
    </row>
    <row r="15" spans="1:16" ht="29" customHeight="1">
      <c r="A15" s="193"/>
      <c r="B15" s="65"/>
      <c r="C15" s="506"/>
      <c r="D15" s="8"/>
      <c r="E15" s="8"/>
      <c r="F15" s="8"/>
      <c r="G15" s="6"/>
      <c r="H15" s="6"/>
      <c r="L15" s="6"/>
    </row>
    <row r="16" spans="1:16" ht="12.75" customHeight="1">
      <c r="B16" s="58"/>
      <c r="C16" s="87"/>
      <c r="D16" s="8"/>
      <c r="E16" s="8"/>
      <c r="F16" s="8"/>
      <c r="H16" s="6"/>
      <c r="L16" s="35"/>
    </row>
    <row r="17" spans="1:12" ht="12.75" customHeight="1">
      <c r="A17" s="10"/>
      <c r="B17" s="8"/>
      <c r="C17" s="12"/>
      <c r="D17" s="8"/>
      <c r="E17" s="8"/>
      <c r="F17" s="8"/>
      <c r="H17" s="40"/>
      <c r="I17" s="647" t="s">
        <v>2890</v>
      </c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I18" s="647"/>
      <c r="L18" s="6"/>
    </row>
    <row r="19" spans="1:12" ht="12.75" customHeight="1">
      <c r="A19" s="10"/>
      <c r="B19" s="8"/>
      <c r="C19" s="12"/>
      <c r="D19" s="8"/>
      <c r="E19" s="8"/>
      <c r="F19" s="8"/>
      <c r="G19" s="6"/>
      <c r="H19" s="6"/>
      <c r="I19" s="648" t="s">
        <v>2891</v>
      </c>
      <c r="L19" s="6"/>
    </row>
    <row r="20" spans="1:12" ht="14.25" customHeight="1">
      <c r="A20" s="10"/>
      <c r="B20" s="8"/>
      <c r="C20" s="27"/>
      <c r="D20" s="8"/>
      <c r="E20" s="8"/>
      <c r="F20" s="8"/>
      <c r="G20" s="6"/>
      <c r="H20" s="6"/>
      <c r="I20" s="648"/>
      <c r="L20" s="6"/>
    </row>
    <row r="21" spans="1:12" ht="16.5" customHeight="1">
      <c r="A21" s="499" t="s">
        <v>2954</v>
      </c>
      <c r="B21" s="520" t="s">
        <v>2961</v>
      </c>
      <c r="C21" s="8"/>
      <c r="E21" s="8"/>
      <c r="F21" s="8"/>
      <c r="G21" s="6"/>
      <c r="H21" s="6"/>
      <c r="L21" s="6"/>
    </row>
    <row r="22" spans="1:12" ht="16.5" customHeight="1">
      <c r="A22" s="7"/>
      <c r="B22" s="8"/>
      <c r="C22" s="8"/>
      <c r="D22" s="13"/>
      <c r="E22" s="8"/>
      <c r="F22" s="8"/>
      <c r="G22" s="6"/>
      <c r="H22" s="6"/>
      <c r="L22" s="6"/>
    </row>
    <row r="23" spans="1:12" ht="12.75" customHeight="1">
      <c r="A23" s="7"/>
      <c r="B23" s="8"/>
      <c r="C23" s="8"/>
      <c r="D23" s="8"/>
      <c r="E23" s="8"/>
      <c r="F23" s="6"/>
      <c r="G23" s="135" t="str">
        <f>+System10!G25</f>
        <v>partnerská zľava:</v>
      </c>
      <c r="H23" s="6"/>
      <c r="L23" s="6"/>
    </row>
    <row r="24" spans="1:12" ht="12.75" customHeight="1">
      <c r="A24" s="132" t="str">
        <f>System10!A26</f>
        <v>Objednávacie kódy, ceny:</v>
      </c>
      <c r="B24" s="8"/>
      <c r="C24" s="8"/>
      <c r="D24" s="8"/>
      <c r="E24" s="8"/>
      <c r="F24" s="6"/>
      <c r="G24" s="144">
        <f>profil!C15</f>
        <v>0</v>
      </c>
      <c r="H24" s="6" t="s">
        <v>70</v>
      </c>
      <c r="L24" s="6"/>
    </row>
    <row r="25" spans="1:12" s="83" customFormat="1" ht="12.75" customHeight="1">
      <c r="A25" s="81"/>
      <c r="B25" s="82" t="str">
        <f>+System10!B27</f>
        <v>kód</v>
      </c>
      <c r="C25" s="82" t="str">
        <f>+System10!C27</f>
        <v>názov</v>
      </c>
      <c r="D25" s="82" t="str">
        <f>+System10!D27</f>
        <v>ks</v>
      </c>
      <c r="E25" s="82" t="str">
        <f>+System10!E27</f>
        <v>cena/ks</v>
      </c>
      <c r="F25" s="18" t="str">
        <f>+System10!F27</f>
        <v>cena celkom</v>
      </c>
      <c r="G25" s="18" t="str">
        <f>+System10!G27</f>
        <v>celkom netto:</v>
      </c>
      <c r="H25" s="18"/>
      <c r="I25" s="18" t="str">
        <f>texty!A29</f>
        <v>Poznámka:</v>
      </c>
      <c r="K25" s="18"/>
      <c r="L25" s="18"/>
    </row>
    <row r="26" spans="1:12" ht="12.75" customHeight="1">
      <c r="A26" s="7" t="str">
        <f>texty!A106</f>
        <v>Horný profil:</v>
      </c>
      <c r="B26" s="8">
        <f>+VLOOKUP(L6,data!$C$176:$D$224,2,0)</f>
        <v>89106</v>
      </c>
      <c r="C26" s="25" t="str">
        <f>+VLOOKUP(B26,cennik!$A:$G,2,FALSE)</f>
        <v>SEVROLL Gemini horné vedenie 1,7m strieborná</v>
      </c>
      <c r="D26" s="17">
        <f>IF(B26="N/A",0,1)</f>
        <v>1</v>
      </c>
      <c r="E26" s="92">
        <f>+VLOOKUP(B26,cennik!$A:$G,3,FALSE)</f>
        <v>16.077369999999998</v>
      </c>
      <c r="F26" s="92">
        <f t="shared" ref="F26:F32" si="0">+E26*D26</f>
        <v>16.077369999999998</v>
      </c>
      <c r="G26" s="93">
        <f t="shared" ref="G26:G32" si="1">+F26*(100-$G$24)/100</f>
        <v>16.077369999999998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K26" s="196"/>
      <c r="L26" s="6"/>
    </row>
    <row r="27" spans="1:12" ht="12.75" customHeight="1">
      <c r="A27" s="7" t="str">
        <f>texty!A107</f>
        <v>spodný profil:</v>
      </c>
      <c r="B27" s="16">
        <f>+VLOOKUP(N6,data!$C$4:$D$88,2,0)</f>
        <v>84385</v>
      </c>
      <c r="C27" s="25" t="str">
        <f>IF($B$27=data!$D$54,texty!$A$239,+VLOOKUP($B$27,cennik!$A:$G,2,FALSE))</f>
        <v>SEVROLL Elegant spodné vedenie 1,7m striebor</v>
      </c>
      <c r="D27" s="17">
        <v>1</v>
      </c>
      <c r="E27" s="92">
        <f>IF(B27=data!$D$63,0,+VLOOKUP(B27,cennik!$A:$G,3,FALSE))</f>
        <v>9.0389999999999997</v>
      </c>
      <c r="F27" s="92">
        <f t="shared" si="0"/>
        <v>9.0389999999999997</v>
      </c>
      <c r="G27" s="93">
        <f t="shared" si="1"/>
        <v>9.0389999999999997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K27" s="196"/>
      <c r="L27" s="6"/>
    </row>
    <row r="28" spans="1:12" ht="12.75" customHeight="1">
      <c r="A28" s="436" t="str">
        <f>texty!A83</f>
        <v>krycí profil (maska):</v>
      </c>
      <c r="B28" s="16">
        <f>+VLOOKUP(N6,data!$C$90:$D$175,2,0)</f>
        <v>318657</v>
      </c>
      <c r="C28" s="25" t="str">
        <f>IF($B$28=data!$D$54,texty!$A$239,+VLOOKUP($B$28,cennik!$A:$G,2,FALSE))</f>
        <v>SEV-maska Elegant II 1,7m strieborná</v>
      </c>
      <c r="D28" s="17">
        <v>1</v>
      </c>
      <c r="E28" s="92">
        <f>IF(B28=data!$D$63,0,+VLOOKUP(B28,cennik!$A:$G,3,FALSE))</f>
        <v>2.8683800000000002</v>
      </c>
      <c r="F28" s="92">
        <f t="shared" si="0"/>
        <v>2.8683800000000002</v>
      </c>
      <c r="G28" s="93">
        <f t="shared" si="1"/>
        <v>2.8683800000000002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K28" s="196"/>
      <c r="L28" s="6"/>
    </row>
    <row r="29" spans="1:12" ht="12.75" customHeight="1">
      <c r="A29" s="7" t="str">
        <f>texty!A109</f>
        <v>horný vozík</v>
      </c>
      <c r="B29" s="16">
        <v>228023</v>
      </c>
      <c r="C29" s="38" t="str">
        <f>+VLOOKUP(B29,cennik!$A:$G,2,FALSE)</f>
        <v>SEVROLL Focus horný vozík 18mm - 2ks</v>
      </c>
      <c r="D29" s="17">
        <f>IF((D42+D43)&gt;D4,0,D4-(D42+D43))</f>
        <v>3</v>
      </c>
      <c r="E29" s="219">
        <f>+VLOOKUP(B29,cennik!$A:$G,3,FALSE)</f>
        <v>4.0494700000000003</v>
      </c>
      <c r="F29" s="106">
        <f t="shared" si="0"/>
        <v>12.148410000000002</v>
      </c>
      <c r="G29" s="105">
        <f t="shared" si="1"/>
        <v>12.148410000000002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K29" s="196"/>
      <c r="L29" s="6"/>
    </row>
    <row r="30" spans="1:12" ht="12.75" customHeight="1">
      <c r="A30" s="7" t="str">
        <f>texty!A110</f>
        <v>spodný vozík</v>
      </c>
      <c r="B30" s="16">
        <f>IF(F4=M65,362316,229440)</f>
        <v>362316</v>
      </c>
      <c r="C30" s="25" t="str">
        <f>+VLOOKUP(B30,cennik!$A:$G,2,FALSE)</f>
        <v>SEV-2x spodný vozík DTD 18mm, bez pozicionéru, bez pružiny</v>
      </c>
      <c r="D30" s="17">
        <f>+D4</f>
        <v>3</v>
      </c>
      <c r="E30" s="219">
        <f>+VLOOKUP(B30,cennik!$A:$G,3,FALSE)</f>
        <v>4.5556599999999996</v>
      </c>
      <c r="F30" s="106">
        <f t="shared" si="0"/>
        <v>13.666979999999999</v>
      </c>
      <c r="G30" s="105">
        <f t="shared" si="1"/>
        <v>13.666979999999999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196"/>
      <c r="L30" s="6"/>
    </row>
    <row r="31" spans="1:12" ht="12.75" customHeight="1">
      <c r="A31" s="7" t="str">
        <f>texty!A89</f>
        <v>dorazový kartáč</v>
      </c>
      <c r="B31" s="16">
        <f>+VLOOKUP(L48,data!$C$695:$D$713,2,0)</f>
        <v>229433</v>
      </c>
      <c r="C31" s="38" t="str">
        <f>+VLOOKUP(B31,cennik!$A:$G,2,FALSE)</f>
        <v>SEVROLL dorazový kartáč zásuvný 4,8x4mm</v>
      </c>
      <c r="D31" s="17">
        <f>CEILING((B4*D4*2/1000),1)</f>
        <v>0</v>
      </c>
      <c r="E31" s="219">
        <f>+VLOOKUP(B31,cennik!$A:$G,3,FALSE)</f>
        <v>6.4699999999999994E-2</v>
      </c>
      <c r="F31" s="106">
        <f t="shared" si="0"/>
        <v>0</v>
      </c>
      <c r="G31" s="105">
        <f t="shared" si="1"/>
        <v>0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196"/>
      <c r="L31" s="6"/>
    </row>
    <row r="32" spans="1:12" ht="12.75" customHeight="1">
      <c r="A32" s="7" t="str">
        <f>texty!A113</f>
        <v>úchytková lišta</v>
      </c>
      <c r="B32" s="16">
        <f>+VLOOKUP(P7,data!$C$664:$D$668,2,0)</f>
        <v>179196</v>
      </c>
      <c r="C32" s="38" t="str">
        <f>+VLOOKUP(B32,cennik!$A:$G,2,FALSE)</f>
        <v>SEVROLL Faworyt II úch.lišta 2,7m strieborná</v>
      </c>
      <c r="D32" s="17">
        <f>IF(B11&lt;=1347,D4*2/2,D4*2)</f>
        <v>3</v>
      </c>
      <c r="E32" s="219">
        <f>+VLOOKUP(B32,cennik!$A:$G,3,FALSE)</f>
        <v>13.570550000000001</v>
      </c>
      <c r="F32" s="106">
        <f t="shared" si="0"/>
        <v>40.711650000000006</v>
      </c>
      <c r="G32" s="105">
        <f t="shared" si="1"/>
        <v>40.711650000000006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196"/>
      <c r="L32" s="6"/>
    </row>
    <row r="33" spans="1:12" ht="12.75" customHeight="1">
      <c r="A33" s="7"/>
      <c r="B33" s="16"/>
      <c r="C33" s="25"/>
      <c r="D33" s="17"/>
      <c r="E33" s="92"/>
      <c r="F33" s="106"/>
      <c r="G33" s="105"/>
      <c r="H33" s="6"/>
      <c r="I33" s="483" t="str">
        <f>IFERROR(IF((VLOOKUP(B33,cennik!A:L,12,0))="O",texty!$A$250,""),"")</f>
        <v/>
      </c>
      <c r="K33" s="196"/>
      <c r="L33" s="6"/>
    </row>
    <row r="34" spans="1:12" s="129" customFormat="1" ht="12.75" customHeight="1">
      <c r="A34" s="14" t="str">
        <f>texty!$A$66</f>
        <v>Voliteľné príslušenstvo:</v>
      </c>
      <c r="B34" s="124"/>
      <c r="C34" s="125"/>
      <c r="D34" s="491" t="str">
        <f>System10!D41</f>
        <v>zadajte počet:</v>
      </c>
      <c r="E34" s="133"/>
      <c r="F34" s="126"/>
      <c r="G34" s="127"/>
      <c r="H34" s="128"/>
      <c r="I34" s="483" t="str">
        <f>IFERROR(IF((VLOOKUP(B34,cennik!A:L,12,0))="O",texty!$A$250,""),"")</f>
        <v/>
      </c>
      <c r="K34" s="196"/>
      <c r="L34" s="128"/>
    </row>
    <row r="35" spans="1:12" s="129" customFormat="1" ht="12.75" customHeight="1">
      <c r="A35" s="7" t="str">
        <f>texty!$A$88</f>
        <v>pozicionér do horného vedenia</v>
      </c>
      <c r="B35" s="192">
        <v>298035</v>
      </c>
      <c r="C35" s="38" t="str">
        <f>+VLOOKUP(B35,cennik!$A:$G,2,FALSE)</f>
        <v>SEVROLL Fix pozicionér pre horný vozík tran.</v>
      </c>
      <c r="D35" s="29"/>
      <c r="E35" s="219">
        <f>+VLOOKUP(B35,cennik!$A:$G,3,FALSE)</f>
        <v>1.0605800000000001</v>
      </c>
      <c r="F35" s="106">
        <f>+E35*D35</f>
        <v>0</v>
      </c>
      <c r="G35" s="105">
        <f>+F35*(100-$G$24)/100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196"/>
      <c r="L35" s="128"/>
    </row>
    <row r="36" spans="1:12" ht="12.75" customHeight="1">
      <c r="A36" s="7" t="str">
        <f>texty!$A$111</f>
        <v xml:space="preserve">pozicionér </v>
      </c>
      <c r="B36" s="16">
        <f>IF(F4="Gemini",387424,89063)</f>
        <v>89063</v>
      </c>
      <c r="C36" s="38" t="str">
        <f>+VLOOKUP(B36,cennik!$A:$G,2,FALSE)</f>
        <v>SEV - pozicionér HI-TEC</v>
      </c>
      <c r="D36" s="29"/>
      <c r="E36" s="219">
        <f>+VLOOKUP(B36,cennik!$A:$G,3,FALSE)</f>
        <v>0.31335000000000002</v>
      </c>
      <c r="F36" s="106">
        <f t="shared" ref="F36:F58" si="2">+E36*D36</f>
        <v>0</v>
      </c>
      <c r="G36" s="105">
        <f t="shared" ref="G36:G58" si="3">+F36*(100-$G$24)/100</f>
        <v>0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196"/>
      <c r="L36" s="6"/>
    </row>
    <row r="37" spans="1:12" ht="12.75" customHeight="1">
      <c r="A37" s="436" t="str">
        <f>texty!$A$228</f>
        <v> Tlmič dorazu MINI do 25 kg (pár)</v>
      </c>
      <c r="B37" s="16">
        <v>318662</v>
      </c>
      <c r="C37" s="25" t="str">
        <f>+VLOOKUP(B37,cennik!$A:$G,2,FALSE)</f>
        <v>SEVROLL tlmič dorazu Mini SV25 - 2ks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196"/>
      <c r="L37" s="6"/>
    </row>
    <row r="38" spans="1:12" ht="12.75" customHeight="1">
      <c r="A38" s="436" t="str">
        <f>texty!$A$229</f>
        <v> Tlmič dorazu MINI do 40 kg (pár)</v>
      </c>
      <c r="B38" s="24">
        <v>283956</v>
      </c>
      <c r="C38" s="25" t="str">
        <f>+VLOOKUP(B38,cennik!$A:$G,2,FALSE)</f>
        <v>SEVROLL tlmič dorazu Mini SV40 - 2ks</v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196"/>
      <c r="L38" s="6"/>
    </row>
    <row r="39" spans="1:12" ht="12.75" customHeight="1">
      <c r="A39" s="436" t="str">
        <f>texty!$A$230</f>
        <v> Tlmič dorazu MINI do 60 kg (pár)</v>
      </c>
      <c r="B39" s="24">
        <v>351743</v>
      </c>
      <c r="C39" s="25" t="str">
        <f>+VLOOKUP(B39,cennik!$A:$G,2,FALSE)</f>
        <v/>
      </c>
      <c r="D39" s="387"/>
      <c r="E39" s="92">
        <f>+VLOOKUP(B39,cennik!$A:$G,3,FALSE)</f>
        <v>22.368510000000001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196"/>
      <c r="L39" s="3"/>
    </row>
    <row r="40" spans="1:12" ht="12.75" customHeight="1">
      <c r="A40" s="436" t="str">
        <f>texty!$A$231</f>
        <v> Tlmič pre stredné krídlo do 25 kg</v>
      </c>
      <c r="B40" s="24">
        <v>318663</v>
      </c>
      <c r="C40" s="25" t="str">
        <f>+VLOOKUP(B40,cennik!$A:$G,2,FALSE)</f>
        <v>SEVROLL tlmič Central 10/18mm obojst. 25 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196"/>
      <c r="L40" s="3"/>
    </row>
    <row r="41" spans="1:12" ht="12.75" customHeight="1">
      <c r="A41" s="436" t="str">
        <f>texty!$A$232</f>
        <v> Tlmič pre stredné krídlo do 40 kg</v>
      </c>
      <c r="B41" s="24">
        <v>283955</v>
      </c>
      <c r="C41" s="25" t="str">
        <f>+VLOOKUP(B41,cennik!$A:$G,2,FALSE)</f>
        <v>SEVROLL tlmič Central 10/18mm obojst.25-40kg</v>
      </c>
      <c r="D41" s="387"/>
      <c r="E41" s="92">
        <f>+VLOOKUP(B41,cennik!$A:$G,3,FALSE)</f>
        <v>47.918750000000003</v>
      </c>
      <c r="F41" s="97">
        <f>+CEILING(D41,1)*E41</f>
        <v>0</v>
      </c>
      <c r="G41" s="105">
        <f t="shared" si="3"/>
        <v>0</v>
      </c>
      <c r="H41" s="24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196"/>
      <c r="L41" s="3"/>
    </row>
    <row r="42" spans="1:12" ht="12.75" customHeight="1">
      <c r="A42" s="7" t="str">
        <f>texty!$A$97</f>
        <v>tlmič dorazu (pár) 25 kg</v>
      </c>
      <c r="B42" s="24">
        <v>227185</v>
      </c>
      <c r="C42" s="38" t="str">
        <f>+VLOOKUP(B42,cennik!$A:$G,2,FALSE)</f>
        <v>K-SEVROLL tlmič dorazu 10/18mm 14-25kg(L+P)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196"/>
      <c r="L42" s="3"/>
    </row>
    <row r="43" spans="1:12" ht="12.75" customHeight="1">
      <c r="A43" s="7" t="str">
        <f>texty!$A$98</f>
        <v>tlmič dorazu (pár) 50 kg</v>
      </c>
      <c r="B43" s="24">
        <v>227187</v>
      </c>
      <c r="C43" s="38" t="str">
        <f>+VLOOKUP(B43,cennik!$A:$G,2,FALSE)</f>
        <v>K-SEVROLL tlmič dorazu 10/18mm 25-50kg(L+P)</v>
      </c>
      <c r="D43" s="29"/>
      <c r="E43" s="219">
        <f>+VLOOKUP(B43,cennik!$A:$G,3,FALSE)</f>
        <v>0</v>
      </c>
      <c r="F43" s="106">
        <f>+E43*D43</f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196"/>
      <c r="L43" s="3"/>
    </row>
    <row r="44" spans="1:12" ht="12.75" customHeight="1">
      <c r="A44" s="7" t="str">
        <f>texty!$A$196</f>
        <v>Spona dorazovej kefky</v>
      </c>
      <c r="B44" s="16">
        <v>223569</v>
      </c>
      <c r="C44" s="38" t="str">
        <f>+VLOOKUP(B44,cennik!$A:$G,2,FALSE)</f>
        <v>SEVROLL spona dorazového kartáča</v>
      </c>
      <c r="D44" s="29"/>
      <c r="E44" s="219">
        <f>+VLOOKUP(B44,cennik!$A:$G,3,FALSE)</f>
        <v>7.399E-2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196"/>
      <c r="L44" s="3"/>
    </row>
    <row r="45" spans="1:12" ht="12.75" customHeight="1">
      <c r="A45" s="146" t="str">
        <f>texty!$A$114</f>
        <v>spojovací profil H18-3metre</v>
      </c>
      <c r="B45" s="16">
        <f>+VLOOKUP($P$7,data!$C$463:$D$472,2,0)</f>
        <v>89010</v>
      </c>
      <c r="C45" s="38" t="str">
        <f>+VLOOKUP(B45,cennik!$A:$G,2,FALSE)</f>
        <v>SEVROLL spojovacia lišta H18 3m strieborná</v>
      </c>
      <c r="D45" s="29"/>
      <c r="E45" s="219">
        <f>+VLOOKUP(B45,cennik!$A:$G,3,FALSE)</f>
        <v>13.89648</v>
      </c>
      <c r="F45" s="106">
        <f t="shared" si="2"/>
        <v>0</v>
      </c>
      <c r="G45" s="105">
        <f t="shared" si="3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196"/>
      <c r="L45" s="3"/>
    </row>
    <row r="46" spans="1:12" ht="12.75" customHeight="1">
      <c r="A46" s="146" t="str">
        <f>texty!$A$115</f>
        <v>spojovací T profil - 3metre /s drážkou/</v>
      </c>
      <c r="B46" s="16">
        <f>+VLOOKUP($P$7,data!$C$473:$D$482,2,0)</f>
        <v>89188</v>
      </c>
      <c r="C46" s="38" t="str">
        <f>IF(B46=data!$D$54,texty!$A$239,+VLOOKUP(B46,cennik!$A$3:$G$907,2,FALSE))</f>
        <v>SEVROLL spojovaciá lišta "T" 3m strieborná</v>
      </c>
      <c r="D46" s="29"/>
      <c r="E46" s="92">
        <f>IF(B46=data!$D$63,0,+VLOOKUP(B46,cennik!$A$3:$G$907,3,FALSE))</f>
        <v>10.629860000000001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196"/>
      <c r="L46" s="6"/>
    </row>
    <row r="47" spans="1:12" ht="12.75" customHeight="1">
      <c r="A47" s="146" t="str">
        <f>texty!$A$116</f>
        <v>spojovací T profil - 3metre /s lemom/</v>
      </c>
      <c r="B47" s="16">
        <f>+VLOOKUP($P$7,data!$C$483:$D$492,2,0)</f>
        <v>89013</v>
      </c>
      <c r="C47" s="38" t="str">
        <f>IF(B47=data!$D$54,texty!$A$239,+VLOOKUP(B47,cennik!$A$3:$G$907,2,FALSE))</f>
        <v>SEVROLL spojovacia lišta T Decor 3m striebor</v>
      </c>
      <c r="D47" s="29"/>
      <c r="E47" s="92">
        <f>IF(B47=data!$D$63,0,+VLOOKUP(B47,cennik!$A$3:$G$907,3,FALSE))</f>
        <v>9.5692900000000005</v>
      </c>
      <c r="F47" s="92">
        <f t="shared" si="2"/>
        <v>0</v>
      </c>
      <c r="G47" s="105">
        <f t="shared" si="3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196"/>
      <c r="L47" s="5">
        <v>4.8</v>
      </c>
    </row>
    <row r="48" spans="1:12" ht="12.75" customHeight="1">
      <c r="A48" s="146" t="str">
        <f>texty!$A$117</f>
        <v>"U" profil na DTD 18mm - 3 metre /hladký/</v>
      </c>
      <c r="B48" s="6">
        <f>+VLOOKUP($P$7,data!$C$493:$D$502,2,0)</f>
        <v>89269</v>
      </c>
      <c r="C48" s="38" t="str">
        <f>+VLOOKUP(B48,cennik!$A:$G,2,FALSE)</f>
        <v>SEVROLL profil "U" pre DTD 18mm 3m striebor</v>
      </c>
      <c r="D48" s="29"/>
      <c r="E48" s="219">
        <f>+VLOOKUP(B48,cennik!$A:$G,3,FALSE)</f>
        <v>5.0618400000000001</v>
      </c>
      <c r="F48" s="106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196"/>
      <c r="L48" s="5" t="str">
        <f>CONCATENATE(L47,"-",E4)</f>
        <v xml:space="preserve">4,8-strieborná </v>
      </c>
    </row>
    <row r="49" spans="1:14" ht="12.75" customHeight="1">
      <c r="A49" s="146" t="str">
        <f>texty!$A$118</f>
        <v>"U" profil na DTD 18mm - 3 metre /lem/</v>
      </c>
      <c r="B49" s="16">
        <f>+VLOOKUP($P$7,data!$C$502:$D$512,2,0)</f>
        <v>89016</v>
      </c>
      <c r="C49" s="38" t="str">
        <f>IF(B49=data!$D$54,texty!$A$239,+VLOOKUP(B49,cennik!$A$3:$G$907,2,FALSE))</f>
        <v>SEVROLL profil "U" Decor 18mm 3m strieborná</v>
      </c>
      <c r="D49" s="29"/>
      <c r="E49" s="92">
        <f>IF(B49=data!$D$63,0,+VLOOKUP(B49,cennik!$A$3:$G$907,3,FALSE))</f>
        <v>7.1588900000000004</v>
      </c>
      <c r="F49" s="92">
        <f t="shared" si="2"/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196"/>
      <c r="L49" s="6"/>
    </row>
    <row r="50" spans="1:14" ht="12.75" customHeight="1">
      <c r="A50" s="146" t="str">
        <f>texty!$A$119</f>
        <v>uholník mini 11x17mm - 1,7m</v>
      </c>
      <c r="B50" s="6">
        <f>+VLOOKUP($P$7,data!$C$513:$D$522,2,0)</f>
        <v>89134</v>
      </c>
      <c r="C50" s="38" t="str">
        <f>IF(B50=data!$D$54,texty!$A$239,+VLOOKUP(B50,cennik!$A:$G,2,FALSE))</f>
        <v>SEVROLL-182 UHOLNÍK 17*11 STRIEBOR. 1,7M</v>
      </c>
      <c r="D50" s="29"/>
      <c r="E50" s="92">
        <f>IF(B50=data!$D$63,0,+VLOOKUP(B50,cennik!$A:$G,3,FALSE))</f>
        <v>2.5309200000000001</v>
      </c>
      <c r="F50" s="92">
        <f>+E50*D50</f>
        <v>0</v>
      </c>
      <c r="G50" s="105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196"/>
      <c r="L50" s="6"/>
    </row>
    <row r="51" spans="1:14" ht="12.75" customHeight="1">
      <c r="A51" s="146" t="str">
        <f>texty!$A$120</f>
        <v>uholník mini 11x17mm - 2,35m</v>
      </c>
      <c r="B51" s="6">
        <f>+VLOOKUP($P$7,data!$C$523:$D$532,2,0)</f>
        <v>89137</v>
      </c>
      <c r="C51" s="38" t="str">
        <f>IF(B51=data!$D$54,texty!$A$239,+VLOOKUP(B51,cennik!$A:$G,2,FALSE))</f>
        <v>SEVROLL-183 UHOLNÍK 17*11 STRIEBOR. 2,35</v>
      </c>
      <c r="D51" s="29"/>
      <c r="E51" s="92">
        <f>IF(B51=data!$D$63,0,+VLOOKUP(B51,cennik!$A:$G,3,FALSE))</f>
        <v>3.5673900000000001</v>
      </c>
      <c r="F51" s="92">
        <f>+E51*D51</f>
        <v>0</v>
      </c>
      <c r="G51" s="105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196"/>
      <c r="L51" s="6"/>
    </row>
    <row r="52" spans="1:14" ht="12.75" customHeight="1">
      <c r="A52" s="146" t="str">
        <f>texty!$A$121</f>
        <v>uholník mini 11x17mm - 3m</v>
      </c>
      <c r="B52" s="15">
        <f>+VLOOKUP($P$7,data!$C$533:$D$542,2,0)</f>
        <v>89140</v>
      </c>
      <c r="C52" s="38" t="str">
        <f>IF(B52=data!$D$54,texty!$A$239,+VLOOKUP(B52,cennik!$A:$G,2,FALSE))</f>
        <v>SEVROLL-184 UHOLNÍK 17*11 STRIEBOR. 3M</v>
      </c>
      <c r="D52" s="29"/>
      <c r="E52" s="92">
        <f>IF(B52=data!$D$63,0,+VLOOKUP(B52,cennik!$A:$G,3,FALSE))</f>
        <v>4.4833400000000001</v>
      </c>
      <c r="F52" s="92">
        <f>+E52*D52</f>
        <v>0</v>
      </c>
      <c r="G52" s="105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196"/>
      <c r="L52" s="6"/>
    </row>
    <row r="53" spans="1:14" ht="12.75" customHeight="1">
      <c r="A53" s="146" t="str">
        <f>texty!$A$122</f>
        <v>uholník K2 19x18mm - 1,7m</v>
      </c>
      <c r="B53" s="24">
        <f>+VLOOKUP($P$7,data!$C$543:$D$552,2,0)</f>
        <v>89050</v>
      </c>
      <c r="C53" s="38" t="str">
        <f>IF(B53=data!$D$54,texty!$A$239,+VLOOKUP(B53,cennik!$A$3:$G$907,2,FALSE))</f>
        <v>SEVROLL-278 UHOLNÍK K2 1,70M STRIEBORNÁ</v>
      </c>
      <c r="D53" s="29"/>
      <c r="E53" s="92">
        <f>IF(B53=data!$D$63,0,+VLOOKUP(B53,cennik!$A$3:$G$907,3,FALSE))</f>
        <v>3.7843300000000002</v>
      </c>
      <c r="F53" s="92">
        <f>+E53*D53</f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196"/>
      <c r="L53" s="6"/>
    </row>
    <row r="54" spans="1:14" ht="12.75" customHeight="1">
      <c r="A54" s="146" t="str">
        <f>texty!$A$123</f>
        <v>uholník K2 19x18mm - 2,35m</v>
      </c>
      <c r="B54" s="16">
        <f>+VLOOKUP($P$7,data!$C$553:$D$562,2,0)</f>
        <v>89053</v>
      </c>
      <c r="C54" s="38" t="str">
        <f>IF(B54=data!$D$54,texty!$A$239,+VLOOKUP(B54,cennik!$A$3:$G$907,2,FALSE))</f>
        <v>SEVROLL uholník K2 Decor 2,35m strieborná</v>
      </c>
      <c r="D54" s="30"/>
      <c r="E54" s="92">
        <f>IF(B54=data!$D$63,0,+VLOOKUP(B54,cennik!$A$3:$G$907,3,FALSE))</f>
        <v>5.25467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196"/>
      <c r="L54" s="6"/>
    </row>
    <row r="55" spans="1:14" ht="12.75" customHeight="1">
      <c r="A55" s="146" t="str">
        <f>texty!$A$124</f>
        <v>uholník K2 19x18mm - 3,00m</v>
      </c>
      <c r="B55" s="16">
        <f>+VLOOKUP($P$7,data!$C$563:$D$572,2,0)</f>
        <v>89056</v>
      </c>
      <c r="C55" s="38" t="str">
        <f>IF(B55=data!$D$54,texty!$A$239,+VLOOKUP(B55,cennik!$A$3:$G$907,2,FALSE))</f>
        <v>SEVROLL uholník K2 Decor 3m strieborná</v>
      </c>
      <c r="D55" s="30"/>
      <c r="E55" s="92">
        <f>IF(B55=data!$D$63,0,+VLOOKUP(B55,cennik!$A$3:$G$907,3,FALSE))</f>
        <v>6.7009100000000004</v>
      </c>
      <c r="F55" s="92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196"/>
      <c r="L55" s="6"/>
    </row>
    <row r="56" spans="1:14" ht="12.75" customHeight="1">
      <c r="A56" s="146" t="str">
        <f>texty!$A$241</f>
        <v>klínok pre dilatáciu výplne 16mm</v>
      </c>
      <c r="B56" s="16">
        <v>308631</v>
      </c>
      <c r="C56" s="38" t="str">
        <f>+VLOOKUP(B56,cennik!$A:$G,2,FALSE)</f>
        <v>SEVROLL klin pre lamino (100 ks) tl. 2mm</v>
      </c>
      <c r="D56" s="29"/>
      <c r="E56" s="219">
        <f>+VLOOKUP(B56,cennik!$A:$G,3,FALSE)</f>
        <v>9.0389999999999997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196"/>
      <c r="L56" s="6"/>
    </row>
    <row r="57" spans="1:14" ht="12.75" customHeight="1">
      <c r="A57" s="436" t="str">
        <f>texty!$A$240</f>
        <v>zámok posuvných dverí</v>
      </c>
      <c r="B57" s="24">
        <v>216363</v>
      </c>
      <c r="C57" s="38" t="str">
        <f>+VLOOKUP(B57,cennik!$A:$G,2,FALSE)</f>
        <v>SEVROLL zámok na posuvné dvere 18 mm</v>
      </c>
      <c r="D57" s="29"/>
      <c r="E57" s="219">
        <f>+VLOOKUP(B57,cennik!$A:$G,3,FALSE)</f>
        <v>17.186150000000001</v>
      </c>
      <c r="F57" s="106">
        <f t="shared" si="2"/>
        <v>0</v>
      </c>
      <c r="G57" s="105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196"/>
      <c r="L57" s="6"/>
    </row>
    <row r="58" spans="1:14" ht="12.75" customHeight="1">
      <c r="A58" s="7" t="str">
        <f>texty!$A$112</f>
        <v>protiprachový kartáč samolepiaci</v>
      </c>
      <c r="B58" s="24">
        <v>308639</v>
      </c>
      <c r="C58" s="25" t="str">
        <f>+VLOOKUP(B58,cennik!$A:$G,2,FALSE)</f>
        <v>SEVROLL protiprachový kartáč samolep. 6,7x13mm</v>
      </c>
      <c r="D58" s="29"/>
      <c r="E58" s="219">
        <f>+VLOOKUP(B58,cennik!$A:$G,3,FALSE)</f>
        <v>0.28210000000000002</v>
      </c>
      <c r="F58" s="106">
        <f t="shared" si="2"/>
        <v>0</v>
      </c>
      <c r="G58" s="105">
        <f t="shared" si="3"/>
        <v>0</v>
      </c>
      <c r="H58" s="6" t="str">
        <f>cennik!$B$2</f>
        <v>EUR</v>
      </c>
      <c r="I58" s="483" t="str">
        <f>IFERROR(IF((VLOOKUP(B58,cennik!A:L,12,0))="O",texty!$A$250,""),"")</f>
        <v/>
      </c>
      <c r="J58" s="196" t="str">
        <f>IF(D58&gt;0,IF(VLOOKUP(B58,cennik!A:L,12,FALSE)="O",1,""),"")</f>
        <v/>
      </c>
      <c r="K58" s="196"/>
      <c r="L58" s="6"/>
    </row>
    <row r="59" spans="1:14" ht="12.75" customHeight="1">
      <c r="A59" s="146"/>
      <c r="B59" s="146"/>
      <c r="C59" s="146"/>
      <c r="D59" s="146"/>
      <c r="E59" s="146"/>
      <c r="F59" s="146"/>
      <c r="G59" s="146"/>
      <c r="H59" s="146"/>
      <c r="I59" s="186"/>
      <c r="K59" s="196"/>
      <c r="L59" s="6"/>
    </row>
    <row r="60" spans="1:14" ht="16">
      <c r="A60" s="285" t="str">
        <f>texty!$A$190</f>
        <v>Ďalšie príslušenstvo</v>
      </c>
      <c r="B60" s="286"/>
      <c r="C60" s="286"/>
      <c r="D60" s="286"/>
      <c r="E60" s="286"/>
      <c r="F60" s="286"/>
      <c r="G60" s="286"/>
      <c r="H60" s="286"/>
      <c r="I60" s="286"/>
      <c r="K60" s="135"/>
      <c r="L60" s="6"/>
    </row>
    <row r="61" spans="1:14" ht="12.75" customHeight="1">
      <c r="A61" s="285" t="str">
        <f>texty!$A$244</f>
        <v>Technický nákres tohoto systému</v>
      </c>
      <c r="C61" s="74"/>
      <c r="D61" s="48" t="str">
        <f>texty!A15</f>
        <v>CELKOM  (bez DPH)</v>
      </c>
      <c r="E61" s="107"/>
      <c r="F61" s="108">
        <f>SUM(F26:F59)</f>
        <v>94.511790000000005</v>
      </c>
      <c r="G61" s="108">
        <f>SUM(G26:G59)</f>
        <v>94.511790000000005</v>
      </c>
      <c r="H61" s="6" t="str">
        <f>cennik!$B$2</f>
        <v>EUR</v>
      </c>
      <c r="I61" s="186"/>
      <c r="K61" s="186"/>
      <c r="L61" s="6"/>
    </row>
    <row r="62" spans="1:14" ht="12.75" customHeight="1">
      <c r="A62" s="76" t="str">
        <f>System10!$A$67</f>
        <v>Vaša poznámka:</v>
      </c>
      <c r="B62" s="670"/>
      <c r="C62" s="671"/>
      <c r="D62" s="671"/>
      <c r="E62" s="671"/>
      <c r="F62" s="671"/>
      <c r="G62" s="672"/>
      <c r="H62" s="6"/>
      <c r="L62" s="6"/>
    </row>
    <row r="63" spans="1:14" ht="12.75" customHeight="1">
      <c r="A63" s="668">
        <f>profil!$U$15</f>
        <v>0</v>
      </c>
      <c r="B63" s="658"/>
      <c r="C63" s="658"/>
      <c r="D63" s="658"/>
      <c r="E63" s="658"/>
      <c r="F63" s="658"/>
      <c r="G63" s="658"/>
      <c r="H63" s="658"/>
      <c r="L63" s="6"/>
    </row>
    <row r="64" spans="1:14" ht="12.75" customHeight="1">
      <c r="A64" s="659" t="str">
        <f>IF(N64=1,texty!$A$215,IF(J64&gt;0,texty!$A$214,""))</f>
        <v/>
      </c>
      <c r="B64" s="659"/>
      <c r="C64" s="659"/>
      <c r="D64" s="659"/>
      <c r="E64" s="659"/>
      <c r="F64" s="659"/>
      <c r="G64" s="659"/>
      <c r="H64" s="659"/>
      <c r="J64" s="6">
        <f>SUM(K26:K59)</f>
        <v>0</v>
      </c>
      <c r="N64" s="5">
        <f>IF(ISERROR(J64),1,0)</f>
        <v>0</v>
      </c>
    </row>
    <row r="65" spans="12:13" ht="12.75" hidden="1" customHeight="1">
      <c r="L65" s="5" t="str">
        <f>texty!A128</f>
        <v xml:space="preserve">strieborná </v>
      </c>
      <c r="M65" s="21" t="s">
        <v>2884</v>
      </c>
    </row>
    <row r="66" spans="12:13" ht="12.75" hidden="1" customHeight="1">
      <c r="L66" s="5" t="str">
        <f>texty!A130</f>
        <v>oliva</v>
      </c>
      <c r="M66" s="21" t="s">
        <v>45</v>
      </c>
    </row>
    <row r="67" spans="12:13" ht="12.75" hidden="1" customHeight="1">
      <c r="L67" s="5" t="str">
        <f>data!J15</f>
        <v>biela lesk</v>
      </c>
    </row>
    <row r="68" spans="12:13" ht="12.75" hidden="1" customHeight="1">
      <c r="L68" s="5" t="str">
        <f>data!J18</f>
        <v>biela mat</v>
      </c>
    </row>
    <row r="69" spans="12:13" ht="12.75" hidden="1" customHeight="1">
      <c r="L69" s="5" t="str">
        <f>data!J17</f>
        <v>čierna mat</v>
      </c>
    </row>
  </sheetData>
  <sheetProtection algorithmName="SHA-512" hashValue="jX7crpZlkJZvx7cAaBLsambMpQwZlGeIz73Z3VtwOK3uTjWTuMKgaVq9EZr1USY7BKpbMq+ZFMXIlmCVClC3zw==" saltValue="fhfW/zneIfROPzMS8pN9tw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D6">
    <cfRule type="expression" dxfId="137" priority="7">
      <formula>$D$4=4</formula>
    </cfRule>
    <cfRule type="expression" dxfId="136" priority="8">
      <formula>$D$4&lt;&gt;4</formula>
    </cfRule>
  </conditionalFormatting>
  <conditionalFormatting sqref="G4">
    <cfRule type="expression" dxfId="135" priority="6">
      <formula>$D$4=4</formula>
    </cfRule>
  </conditionalFormatting>
  <conditionalFormatting sqref="I17:I18">
    <cfRule type="expression" dxfId="134" priority="5">
      <formula>$F$4=$M$66</formula>
    </cfRule>
  </conditionalFormatting>
  <conditionalFormatting sqref="I19:I20">
    <cfRule type="expression" dxfId="133" priority="35">
      <formula>$F$4=$M$65</formula>
    </cfRule>
  </conditionalFormatting>
  <conditionalFormatting sqref="A13">
    <cfRule type="expression" dxfId="132" priority="3">
      <formula>SUM($D$40:$D$41)&gt;0</formula>
    </cfRule>
  </conditionalFormatting>
  <dataValidations count="7">
    <dataValidation type="list" allowBlank="1" showInputMessage="1" showErrorMessage="1" sqref="E5:E6" xr:uid="{00000000-0002-0000-1600-000000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$M$65:$M$66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4C389E5-6C48-4C83-AEAF-23126C228DBA}">
            <xm:f>$I26=texty!$A$250</xm:f>
            <x14:dxf>
              <font>
                <color rgb="FFFF0000"/>
              </font>
            </x14:dxf>
          </x14:cfRule>
          <xm:sqref>I26:I58</xm:sqref>
        </x14:conditionalFormatting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A26:H58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9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6640625" style="5" customWidth="1"/>
    <col min="2" max="2" width="15.83203125" style="5" customWidth="1"/>
    <col min="3" max="3" width="46.5" style="5" bestFit="1" customWidth="1"/>
    <col min="4" max="4" width="14" style="5" customWidth="1"/>
    <col min="5" max="7" width="14.6640625" style="5" customWidth="1"/>
    <col min="8" max="8" width="4.832031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-7.5</v>
      </c>
    </row>
    <row r="2" spans="1:16" ht="18.75" customHeight="1">
      <c r="A2" s="538" t="s">
        <v>5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2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+System10!B5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57">
        <f>+B4-42</f>
        <v>-42</v>
      </c>
      <c r="C7" s="59">
        <f>+((C4+30*(D4-1))/D4+IF(AND(D4=4,D6=2),M1,0))</f>
        <v>15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57">
        <f>+B7-2</f>
        <v>-44</v>
      </c>
      <c r="C8" s="59">
        <f>+C7-8</f>
        <v>7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+Faworyt!A9</f>
        <v>rozmer výplne 12mm:</v>
      </c>
      <c r="B9" s="57">
        <f>+B8</f>
        <v>-44</v>
      </c>
      <c r="C9" s="59">
        <f>+C7-8</f>
        <v>7</v>
      </c>
      <c r="D9" s="8"/>
      <c r="E9" s="8"/>
      <c r="F9" s="8"/>
      <c r="G9" s="50"/>
      <c r="H9" s="6"/>
      <c r="L9" s="37"/>
      <c r="M9" s="36"/>
    </row>
    <row r="10" spans="1:16" ht="12.75" customHeight="1">
      <c r="A10" s="10" t="str">
        <f>+Faworyt!A10</f>
        <v>rozmer zrkadla /na DTD 12mm/</v>
      </c>
      <c r="B10" s="57">
        <f>+B8-4</f>
        <v>-48</v>
      </c>
      <c r="C10" s="59">
        <f>+C9-6</f>
        <v>1</v>
      </c>
      <c r="D10" s="8"/>
      <c r="E10" s="8"/>
      <c r="F10" s="8"/>
      <c r="G10" s="49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502">
        <f>B8+2</f>
        <v>-42</v>
      </c>
      <c r="C11" s="503"/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507"/>
      <c r="D12" s="8"/>
      <c r="E12" s="8"/>
      <c r="F12" s="8"/>
      <c r="H12" s="40"/>
      <c r="L12" s="6"/>
    </row>
    <row r="13" spans="1:16" ht="28">
      <c r="A13" s="644" t="str">
        <f>IF(SUM(D39:D40)&gt;0,texty!A246,"")</f>
        <v/>
      </c>
      <c r="B13" s="644"/>
      <c r="C13" s="506" t="str">
        <f>texty!A78</f>
        <v>dodatočné odpočty výšky vypočítaných výplní pri použití deliacich profilov výplne:</v>
      </c>
      <c r="D13" s="8"/>
      <c r="E13" s="8"/>
      <c r="F13" s="8"/>
      <c r="G13" s="6"/>
      <c r="H13" s="6"/>
      <c r="L13" s="6"/>
    </row>
    <row r="14" spans="1:16" ht="13">
      <c r="A14" s="644"/>
      <c r="B14" s="644"/>
      <c r="C14" s="506"/>
      <c r="D14" s="8"/>
      <c r="E14" s="8"/>
      <c r="F14" s="8"/>
      <c r="G14" s="6"/>
      <c r="H14" s="6"/>
      <c r="L14" s="6"/>
    </row>
    <row r="15" spans="1:16" ht="13">
      <c r="A15" s="193"/>
      <c r="B15" s="65"/>
      <c r="C15" s="506"/>
      <c r="D15" s="8"/>
      <c r="E15" s="8"/>
      <c r="F15" s="8"/>
      <c r="G15" s="6"/>
      <c r="H15" s="6"/>
      <c r="L15" s="6"/>
    </row>
    <row r="16" spans="1:16" ht="12.75" customHeight="1">
      <c r="A16" s="10"/>
      <c r="B16" s="8"/>
      <c r="C16" s="12"/>
      <c r="D16" s="8"/>
      <c r="E16" s="8"/>
      <c r="F16" s="8"/>
      <c r="G16" s="6"/>
      <c r="I16" s="647" t="s">
        <v>2890</v>
      </c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I17" s="647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I18" s="648" t="s">
        <v>2891</v>
      </c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I19" s="648"/>
      <c r="L19" s="6"/>
    </row>
    <row r="20" spans="1:12" ht="16.5" customHeight="1">
      <c r="A20" s="7"/>
      <c r="B20" s="8"/>
      <c r="C20" s="8"/>
      <c r="E20" s="8"/>
      <c r="F20" s="8"/>
      <c r="G20" s="6"/>
      <c r="H20" s="6"/>
      <c r="L20" s="6"/>
    </row>
    <row r="21" spans="1:12" ht="16.5" customHeight="1">
      <c r="A21" s="499" t="s">
        <v>2954</v>
      </c>
      <c r="B21" s="520" t="s">
        <v>2961</v>
      </c>
      <c r="C21" s="8"/>
      <c r="D21" s="13"/>
      <c r="E21" s="8"/>
      <c r="F21" s="8"/>
      <c r="G21" s="6"/>
      <c r="H21" s="6"/>
      <c r="L21" s="6"/>
    </row>
    <row r="22" spans="1:12" ht="12.75" customHeight="1">
      <c r="A22" s="7"/>
      <c r="B22" s="8"/>
      <c r="C22" s="8"/>
      <c r="D22" s="8"/>
      <c r="E22" s="8"/>
      <c r="F22" s="6"/>
      <c r="G22" s="135" t="str">
        <f>+Faworyt!G23</f>
        <v>partnerská zľava:</v>
      </c>
      <c r="H22" s="6"/>
      <c r="L22" s="6"/>
    </row>
    <row r="23" spans="1:12" s="130" customFormat="1" ht="12.75" customHeight="1">
      <c r="A23" s="132" t="str">
        <f>+Faworyt!A24</f>
        <v>Objednávacie kódy, ceny:</v>
      </c>
      <c r="B23" s="27"/>
      <c r="C23" s="27"/>
      <c r="D23" s="27"/>
      <c r="E23" s="27"/>
      <c r="F23" s="39"/>
      <c r="G23" s="121">
        <f>profil!C15</f>
        <v>0</v>
      </c>
      <c r="H23" s="39" t="s">
        <v>70</v>
      </c>
      <c r="I23" s="39"/>
      <c r="K23" s="39"/>
      <c r="L23" s="39"/>
    </row>
    <row r="24" spans="1:12" s="83" customFormat="1" ht="12.75" customHeight="1">
      <c r="A24" s="81"/>
      <c r="B24" s="82" t="s">
        <v>22</v>
      </c>
      <c r="C24" s="82"/>
      <c r="D24" s="82" t="str">
        <f>Faworyt!D25</f>
        <v>ks</v>
      </c>
      <c r="E24" s="82" t="str">
        <f>Faworyt!E25</f>
        <v>cena/ks</v>
      </c>
      <c r="F24" s="18" t="str">
        <f>Faworyt!F25</f>
        <v>cena celkom</v>
      </c>
      <c r="G24" s="18" t="str">
        <f>Faworyt!G25</f>
        <v>celkom netto:</v>
      </c>
      <c r="H24" s="18"/>
      <c r="I24" s="18" t="str">
        <f>texty!A29</f>
        <v>Poznámka:</v>
      </c>
      <c r="K24" s="18"/>
      <c r="L24" s="18"/>
    </row>
    <row r="25" spans="1:12" ht="12.75" customHeight="1">
      <c r="A25" s="7" t="str">
        <f>+Faworyt!A26</f>
        <v>Horný profil:</v>
      </c>
      <c r="B25" s="8">
        <f>+VLOOKUP(M6,data!$C$176:$D$210,2,0)</f>
        <v>89106</v>
      </c>
      <c r="C25" s="25" t="str">
        <f>+VLOOKUP(B25,cennik!$A$3:$G$701,2,FALSE)</f>
        <v>SEVROLL Gemini horné vedenie 1,7m strieborná</v>
      </c>
      <c r="D25" s="17">
        <f>IF(B25="N/A",0,1)</f>
        <v>1</v>
      </c>
      <c r="E25" s="92">
        <f>+VLOOKUP(B25,cennik!$A:$G,3,FALSE)</f>
        <v>16.077369999999998</v>
      </c>
      <c r="F25" s="92">
        <f t="shared" ref="F25:F31" si="0"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K25" s="196" t="str">
        <f>IF(D25&gt;0,IF(VLOOKUP(B25,cennik!A:L,12,FALSE)="O",1,""),"")</f>
        <v/>
      </c>
      <c r="L25" s="6"/>
    </row>
    <row r="26" spans="1:12" ht="12.75" customHeight="1">
      <c r="A26" s="73" t="str">
        <f>+Faworyt!A27</f>
        <v>spodný profil:</v>
      </c>
      <c r="B26" s="16">
        <f>+VLOOKUP(O6,data!$C$4:$D$73,2,0)</f>
        <v>84385</v>
      </c>
      <c r="C26" s="25" t="str">
        <f>IF($B$27=data!$D$54,texty!$A$239,+VLOOKUP($B$27,cennik!$A$3:$G$907,2,FALSE))</f>
        <v>SEV-maska Elegant II 1,7m strieborná</v>
      </c>
      <c r="D26" s="17">
        <v>1</v>
      </c>
      <c r="E26" s="92">
        <f>IF(B26=data!$D$63,0,+VLOOKUP(B26,cennik!$A$3:$G$907,3,FALSE))</f>
        <v>9.0389999999999997</v>
      </c>
      <c r="F26" s="92">
        <f t="shared" si="0"/>
        <v>9.0389999999999997</v>
      </c>
      <c r="G26" s="93">
        <f t="shared" ref="G26:G31" si="1">+F26*(100-$G$23)/100</f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K26" s="196" t="str">
        <f>IF(D26&gt;0,IF(VLOOKUP(B26,cennik!A:L,12,FALSE)="O",1,""),"")</f>
        <v/>
      </c>
      <c r="L26" s="6"/>
    </row>
    <row r="27" spans="1:12" ht="12.75" customHeight="1">
      <c r="A27" s="436" t="str">
        <f>texty!A83</f>
        <v>krycí profil (maska):</v>
      </c>
      <c r="B27" s="16">
        <f>+VLOOKUP(O6,data!$C$90:$D$175,2,0)</f>
        <v>318657</v>
      </c>
      <c r="C27" s="25" t="str">
        <f>IF($B$28=data!$D$54,texty!$A$239,+VLOOKUP($B$28,cennik!$A$3:$G$907,2,FALSE))</f>
        <v>SEVROLL Focus horný vozík 18mm - 2ks</v>
      </c>
      <c r="D27" s="17">
        <v>1</v>
      </c>
      <c r="E27" s="92">
        <f>IF(B27=data!$D$63,0,+VLOOKUP(B27,cennik!$A$3:$G$907,3,FALSE))</f>
        <v>2.8683800000000002</v>
      </c>
      <c r="F27" s="92">
        <f t="shared" si="0"/>
        <v>2.8683800000000002</v>
      </c>
      <c r="G27" s="93">
        <f t="shared" si="1"/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K27" s="196" t="str">
        <f>IF(D27&gt;0,IF(VLOOKUP(B27,cennik!A:L,12,FALSE)="O",1,""),"")</f>
        <v/>
      </c>
      <c r="L27" s="6"/>
    </row>
    <row r="28" spans="1:12" ht="12.75" customHeight="1">
      <c r="A28" s="7" t="str">
        <f>+Faworyt!A29</f>
        <v>horný vozík</v>
      </c>
      <c r="B28" s="16">
        <v>228023</v>
      </c>
      <c r="C28" s="38" t="str">
        <f>+VLOOKUP(B28,cennik!$A:$G,2,FALSE)</f>
        <v>SEVROLL Focus horný vozík 18mm - 2ks</v>
      </c>
      <c r="D28" s="17">
        <f>IF((D41+D42)&gt;D4,0,D4-(D41+D42))</f>
        <v>2</v>
      </c>
      <c r="E28" s="219">
        <f>+VLOOKUP(B28,cennik!$A:$G,3,FALSE)</f>
        <v>4.0494700000000003</v>
      </c>
      <c r="F28" s="106">
        <f t="shared" si="0"/>
        <v>8.0989400000000007</v>
      </c>
      <c r="G28" s="93">
        <f t="shared" si="1"/>
        <v>8.0989400000000007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IF(F4=M63,362316,229440)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2</v>
      </c>
      <c r="E29" s="219">
        <f>+VLOOKUP(B29,cennik!$A:$G,3,FALSE)</f>
        <v>4.5556599999999996</v>
      </c>
      <c r="F29" s="106">
        <f t="shared" si="0"/>
        <v>9.1113199999999992</v>
      </c>
      <c r="G29" s="93">
        <f t="shared" si="1"/>
        <v>9.1113199999999992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/>
    </row>
    <row r="30" spans="1:12" ht="12.75" customHeight="1">
      <c r="A30" s="7" t="str">
        <f>texty!A89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106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+VLOOKUP(P7,data!$C$578:$D$579,2,0)</f>
        <v>89099</v>
      </c>
      <c r="C31" s="38" t="str">
        <f>+VLOOKUP(B31,cennik!$A:$G,2,FALSE)</f>
        <v>SEVROLL Tytan úch.lišta 18mm 2,7m strieborná</v>
      </c>
      <c r="D31" s="17">
        <f>IF(B11&lt;=1347,D4*2/2,D4*2)</f>
        <v>2</v>
      </c>
      <c r="E31" s="219">
        <f>+VLOOKUP(B31,cennik!$A:$G,3,FALSE)</f>
        <v>15.932740000000001</v>
      </c>
      <c r="F31" s="106">
        <f t="shared" si="0"/>
        <v>31.865480000000002</v>
      </c>
      <c r="G31" s="93">
        <f t="shared" si="1"/>
        <v>31.865480000000002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106"/>
      <c r="G32" s="105"/>
      <c r="H32" s="6"/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</row>
    <row r="33" spans="1:12" s="129" customFormat="1" ht="12.75" customHeight="1">
      <c r="A33" s="14" t="str">
        <f>texty!$A$66</f>
        <v>Voliteľné príslušenstvo:</v>
      </c>
      <c r="B33" s="124"/>
      <c r="C33" s="125"/>
      <c r="D33" s="491" t="str">
        <f>+Faworyt!D34</f>
        <v>zadajte počet:</v>
      </c>
      <c r="E33" s="133"/>
      <c r="F33" s="126"/>
      <c r="G33" s="127"/>
      <c r="H33" s="128"/>
      <c r="I33" s="483" t="str">
        <f>IFERROR(IF((VLOOKUP(B33,cennik!A:L,12,0))="O",texty!$A$250,""),"")</f>
        <v/>
      </c>
      <c r="K33" s="196"/>
      <c r="L33" s="128"/>
    </row>
    <row r="34" spans="1:12" s="129" customFormat="1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128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2">+E35*D35</f>
        <v>0</v>
      </c>
      <c r="G35" s="105">
        <f t="shared" ref="G35:G57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K41" s="196" t="str">
        <f>IF(D41&gt;0,IF(VLOOKUP(B41,cennik!A:L,12,FALSE)="O",1,""),"")</f>
        <v/>
      </c>
      <c r="L41" s="3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 t="str">
        <f>IF(D42&gt;0,IF(VLOOKUP(B42,cennik!A:L,12,FALSE)="O",1,""),"")</f>
        <v/>
      </c>
      <c r="L42" s="3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3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</row>
    <row r="48" spans="1:1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  <c r="L48" s="6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  <c r="L49" s="6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  <c r="L50" s="6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  <c r="L51" s="6"/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  <c r="L52" s="6"/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K54" s="196" t="str">
        <f>IF(D54&gt;0,IF(VLOOKUP(B54,cennik!A:L,12,FALSE)="O",1,""),"")</f>
        <v/>
      </c>
      <c r="L54" s="6"/>
    </row>
    <row r="55" spans="1:14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/>
      <c r="K55" s="196" t="str">
        <f>IF(D55&gt;0,IF(VLOOKUP(B55,cennik!A:L,12,FALSE)="O",1,""),"")</f>
        <v/>
      </c>
      <c r="L55" s="6"/>
    </row>
    <row r="56" spans="1:14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K56" s="196" t="str">
        <f>IF(D56&gt;0,IF(VLOOKUP(B56,cennik!A:L,12,FALSE)="O",1,""),"")</f>
        <v/>
      </c>
      <c r="L56" s="6"/>
    </row>
    <row r="57" spans="1:14" ht="12.75" customHeight="1">
      <c r="A57" s="7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2"/>
        <v>0</v>
      </c>
      <c r="G57" s="105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K57" s="196" t="str">
        <f>IF(D57&gt;0,IF(VLOOKUP(B57,cennik!A:L,12,FALSE)="O",1,""),"")</f>
        <v/>
      </c>
      <c r="L57" s="6"/>
    </row>
    <row r="58" spans="1:14" ht="12.75" customHeight="1">
      <c r="A58" s="146"/>
      <c r="B58" s="24"/>
      <c r="C58" s="25"/>
      <c r="D58" s="25"/>
      <c r="E58" s="92"/>
      <c r="F58" s="97"/>
      <c r="G58" s="105"/>
      <c r="H58" s="6"/>
      <c r="I58" s="186"/>
      <c r="K58" s="196"/>
      <c r="L58" s="6"/>
    </row>
    <row r="59" spans="1:14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J59" s="286"/>
      <c r="K59" s="135"/>
      <c r="L59" s="6"/>
    </row>
    <row r="60" spans="1:14" ht="12.75" customHeight="1">
      <c r="A60" s="285" t="str">
        <f>texty!$A$244</f>
        <v>Technický nákres tohoto systému</v>
      </c>
      <c r="B60" s="17"/>
      <c r="C60" s="25"/>
      <c r="D60" s="78" t="str">
        <f>+Faworyt!D61</f>
        <v>CELKOM  (bez DPH)</v>
      </c>
      <c r="E60" s="109"/>
      <c r="F60" s="110">
        <f>SUM(F25:F57)</f>
        <v>77.060490000000001</v>
      </c>
      <c r="G60" s="111">
        <f>SUM(G25:G57)</f>
        <v>77.060490000000001</v>
      </c>
      <c r="H60" s="6" t="str">
        <f>cennik!$B$2</f>
        <v>EUR</v>
      </c>
      <c r="J60" s="186"/>
      <c r="K60" s="186"/>
      <c r="L60" s="6"/>
    </row>
    <row r="61" spans="1:14" ht="12.75" customHeight="1">
      <c r="A61" s="76" t="str">
        <f>System10!$A$67</f>
        <v>Vaša poznámka:</v>
      </c>
      <c r="B61" s="670"/>
      <c r="C61" s="671"/>
      <c r="D61" s="671"/>
      <c r="E61" s="671"/>
      <c r="F61" s="671"/>
      <c r="G61" s="671"/>
      <c r="H61" s="6"/>
      <c r="L61" s="6"/>
    </row>
    <row r="62" spans="1:14" ht="12.75" customHeight="1">
      <c r="A62" s="668">
        <f>profil!$U$15</f>
        <v>0</v>
      </c>
      <c r="B62" s="658"/>
      <c r="C62" s="658"/>
      <c r="D62" s="658"/>
      <c r="E62" s="658"/>
      <c r="F62" s="658"/>
      <c r="G62" s="658"/>
      <c r="H62" s="658"/>
    </row>
    <row r="63" spans="1:14" ht="12.75" customHeight="1">
      <c r="A63" s="659" t="str">
        <f>IF(N63=1,texty!$A$215,IF(K63&gt;0,texty!$A$214,""))</f>
        <v/>
      </c>
      <c r="B63" s="659"/>
      <c r="C63" s="659"/>
      <c r="D63" s="659"/>
      <c r="E63" s="659"/>
      <c r="F63" s="659"/>
      <c r="G63" s="659"/>
      <c r="H63" s="659"/>
      <c r="K63" s="6">
        <f>SUM(K25:K57)</f>
        <v>0</v>
      </c>
      <c r="L63" s="5" t="str">
        <f>texty!$A$128</f>
        <v xml:space="preserve">strieborná </v>
      </c>
      <c r="M63" s="21" t="s">
        <v>2884</v>
      </c>
      <c r="N63" s="5">
        <f>IF(ISERROR(K63),1,0)</f>
        <v>0</v>
      </c>
    </row>
    <row r="64" spans="1:14" ht="12.75" customHeight="1">
      <c r="A64" s="64"/>
      <c r="L64" s="5" t="str">
        <f>texty!$A$130</f>
        <v>oliva</v>
      </c>
      <c r="M64" s="21" t="s">
        <v>45</v>
      </c>
    </row>
    <row r="65" ht="12.75" customHeight="1"/>
    <row r="66" ht="12.75" customHeight="1"/>
    <row r="67" ht="12.75" customHeight="1"/>
    <row r="68" ht="12.75" customHeight="1"/>
    <row r="69" ht="12.75" customHeight="1"/>
  </sheetData>
  <sheetProtection algorithmName="SHA-512" hashValue="maQZxlFH5UQ49Q4aYp47R9HdidW6c6JbbyPatXljd6ypabxnhGe+eNzXq+hDey3ulEeGxaWhXbR554++vLwH+w==" saltValue="sIGEw3gBcm2h7ITCDIWpYA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D6">
    <cfRule type="expression" dxfId="129" priority="9">
      <formula>$D$4=4</formula>
    </cfRule>
    <cfRule type="expression" dxfId="128" priority="10">
      <formula>$D$4&lt;&gt;4</formula>
    </cfRule>
  </conditionalFormatting>
  <conditionalFormatting sqref="G4">
    <cfRule type="expression" dxfId="127" priority="8">
      <formula>$D$4=4</formula>
    </cfRule>
  </conditionalFormatting>
  <conditionalFormatting sqref="I16:I17">
    <cfRule type="expression" dxfId="126" priority="4">
      <formula>$F$4=$M$64</formula>
    </cfRule>
  </conditionalFormatting>
  <conditionalFormatting sqref="I18:I19">
    <cfRule type="expression" dxfId="125" priority="5">
      <formula>$F$4=$M$63</formula>
    </cfRule>
  </conditionalFormatting>
  <conditionalFormatting sqref="A13">
    <cfRule type="expression" dxfId="124" priority="3">
      <formula>SUM($D$39:$D$40)&gt;0</formula>
    </cfRule>
  </conditionalFormatting>
  <dataValidations count="7">
    <dataValidation type="list" allowBlank="1" showInputMessage="1" showErrorMessage="1" sqref="E5:F6" xr:uid="{00000000-0002-0000-1700-000000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069F696-16DF-45D8-9FDB-AED922C71F10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8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5" style="5" customWidth="1"/>
    <col min="2" max="2" width="15.83203125" style="5" customWidth="1"/>
    <col min="3" max="3" width="46.5" style="5" bestFit="1" customWidth="1"/>
    <col min="4" max="4" width="13.832031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-7.5</v>
      </c>
    </row>
    <row r="2" spans="1:16" ht="18.75" customHeight="1">
      <c r="A2" s="538" t="s">
        <v>1290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 2 742 mm /")</f>
        <v>výška / max. 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486"/>
      <c r="H4" s="486"/>
      <c r="I4" s="486"/>
      <c r="K4" s="195"/>
      <c r="L4" s="8"/>
    </row>
    <row r="5" spans="1:16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486"/>
      <c r="H5" s="486"/>
      <c r="I5" s="48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486"/>
      <c r="H6" s="486"/>
      <c r="I6" s="48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57">
        <f>+B4-42</f>
        <v>-42</v>
      </c>
      <c r="C7" s="59">
        <f>+((C4+30*(D4-1))/D4+IF(AND(D4=4,D6=2),M1,0))</f>
        <v>20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57">
        <f>+B7-2</f>
        <v>-44</v>
      </c>
      <c r="C8" s="59">
        <f>+C7-7</f>
        <v>13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+Faworyt!A9</f>
        <v>rozmer výplne 12mm:</v>
      </c>
      <c r="B9" s="57">
        <f>+B8</f>
        <v>-44</v>
      </c>
      <c r="C9" s="59">
        <f>+C7-7</f>
        <v>13</v>
      </c>
      <c r="D9" s="8"/>
      <c r="E9" s="8"/>
      <c r="F9" s="8"/>
      <c r="G9" s="50"/>
      <c r="H9" s="6"/>
      <c r="L9" s="37"/>
      <c r="M9" s="36"/>
    </row>
    <row r="10" spans="1:16" ht="12.75" customHeight="1">
      <c r="A10" s="10" t="str">
        <f>+Faworyt!A10</f>
        <v>rozmer zrkadla /na DTD 12mm/</v>
      </c>
      <c r="B10" s="61">
        <f>+B8-4</f>
        <v>-48</v>
      </c>
      <c r="C10" s="66">
        <f>+C9-6</f>
        <v>7</v>
      </c>
      <c r="D10" s="8"/>
      <c r="E10" s="8"/>
      <c r="F10" s="8"/>
      <c r="G10" s="50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68">
        <f>B8+2</f>
        <v>-42</v>
      </c>
      <c r="C11" s="138"/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86"/>
      <c r="D12" s="8"/>
      <c r="E12" s="8"/>
      <c r="F12" s="8"/>
      <c r="G12" s="6"/>
      <c r="H12" s="6"/>
      <c r="L12" s="6"/>
    </row>
    <row r="13" spans="1:16" ht="28">
      <c r="A13" s="644" t="str">
        <f>IF(SUM(D39:D40)&gt;0,texty!A246,"")</f>
        <v/>
      </c>
      <c r="B13" s="644"/>
      <c r="C13" s="506" t="str">
        <f>texty!A78</f>
        <v>dodatočné odpočty výšky vypočítaných výplní pri použití deliacich profilov výplne:</v>
      </c>
      <c r="D13" s="8"/>
      <c r="E13" s="8"/>
      <c r="F13" s="8"/>
      <c r="G13" s="6"/>
      <c r="H13" s="6"/>
      <c r="L13" s="6"/>
    </row>
    <row r="14" spans="1:16" ht="13">
      <c r="A14" s="644"/>
      <c r="B14" s="644"/>
      <c r="C14" s="506"/>
      <c r="D14" s="8"/>
      <c r="E14" s="8"/>
      <c r="F14" s="8"/>
      <c r="G14" s="6"/>
      <c r="H14" s="6"/>
      <c r="L14" s="6"/>
    </row>
    <row r="15" spans="1:16" ht="13">
      <c r="A15" s="193"/>
      <c r="B15" s="65"/>
      <c r="C15" s="506"/>
      <c r="D15" s="8"/>
      <c r="E15" s="8"/>
      <c r="F15" s="8"/>
      <c r="G15" s="6"/>
      <c r="H15" s="6"/>
      <c r="L15" s="6"/>
    </row>
    <row r="16" spans="1:16" ht="12.75" customHeight="1">
      <c r="A16" s="10"/>
      <c r="B16" s="8"/>
      <c r="C16" s="12"/>
      <c r="D16" s="8"/>
      <c r="E16" s="8"/>
      <c r="F16" s="8"/>
      <c r="H16" s="40"/>
      <c r="I16" s="647" t="s">
        <v>2890</v>
      </c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H17" s="6"/>
      <c r="I17" s="647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H19" s="6"/>
      <c r="I19" s="648"/>
      <c r="L19" s="6"/>
    </row>
    <row r="20" spans="1:12" ht="16.5" customHeight="1">
      <c r="A20" s="499"/>
      <c r="B20" s="520"/>
      <c r="C20" s="8"/>
      <c r="E20" s="8"/>
      <c r="F20" s="8"/>
      <c r="G20" s="6"/>
      <c r="H20" s="6"/>
      <c r="L20" s="6"/>
    </row>
    <row r="21" spans="1:12" ht="12.75" customHeight="1">
      <c r="A21" s="499" t="s">
        <v>2954</v>
      </c>
      <c r="B21" s="520" t="s">
        <v>2961</v>
      </c>
      <c r="C21" s="8"/>
      <c r="D21" s="8"/>
      <c r="E21" s="8"/>
      <c r="F21" s="8"/>
      <c r="G21" s="6"/>
      <c r="H21" s="6"/>
      <c r="L21" s="6"/>
    </row>
    <row r="22" spans="1:12" ht="12.75" customHeight="1">
      <c r="A22" s="7"/>
      <c r="B22" s="8"/>
      <c r="C22" s="8"/>
      <c r="D22" s="8"/>
      <c r="E22" s="8"/>
      <c r="F22" s="6"/>
      <c r="G22" s="135" t="str">
        <f>+Faworyt!$G$23</f>
        <v>partnerská zľava:</v>
      </c>
      <c r="H22" s="6"/>
      <c r="L22" s="6"/>
    </row>
    <row r="23" spans="1:12" ht="12.75" customHeight="1">
      <c r="A23" s="132" t="str">
        <f>+Faworyt!A24</f>
        <v>Objednávacie kódy, ceny:</v>
      </c>
      <c r="B23" s="8"/>
      <c r="D23" s="8"/>
      <c r="E23" s="8"/>
      <c r="F23" s="8"/>
      <c r="G23" s="144">
        <f>profil!C15</f>
        <v>0</v>
      </c>
      <c r="H23" s="6" t="s">
        <v>70</v>
      </c>
      <c r="L23" s="6"/>
    </row>
    <row r="24" spans="1:12" s="83" customFormat="1" ht="12.75" customHeight="1">
      <c r="A24" s="81"/>
      <c r="B24" s="82" t="str">
        <f>+Faworyt!B25</f>
        <v>kód</v>
      </c>
      <c r="C24" s="83" t="str">
        <f>+Faworyt!C25</f>
        <v>názov</v>
      </c>
      <c r="D24" s="82" t="str">
        <f>+Faworyt!D25</f>
        <v>ks</v>
      </c>
      <c r="E24" s="82" t="str">
        <f>+Faworyt!E25</f>
        <v>cena/ks</v>
      </c>
      <c r="F24" s="82" t="str">
        <f>+Faworyt!F25</f>
        <v>cena celkom</v>
      </c>
      <c r="G24" s="84" t="str">
        <f>+Faworyt!G25</f>
        <v>celkom netto:</v>
      </c>
      <c r="H24" s="85"/>
      <c r="I24" s="18" t="str">
        <f>texty!A29</f>
        <v>Poznámka:</v>
      </c>
      <c r="K24" s="18"/>
      <c r="L24" s="18"/>
    </row>
    <row r="25" spans="1:12" ht="12.75" customHeight="1">
      <c r="A25" s="7" t="str">
        <f>+Faworyt!A26</f>
        <v>Horný profil:</v>
      </c>
      <c r="B25" s="8">
        <f>+VLOOKUP(M6,data!$C$176:$D$210,2,0)</f>
        <v>89106</v>
      </c>
      <c r="C25" s="25" t="str">
        <f>+VLOOKUP(B25,cennik!$A$3:$G$701,2,FALSE)</f>
        <v>SEVROLL Gemini horné vedenie 1,7m strieborná</v>
      </c>
      <c r="D25" s="17">
        <f>IF(B25="N/A",0,1)</f>
        <v>1</v>
      </c>
      <c r="E25" s="92">
        <f>+VLOOKUP(B25,cennik!$A:$G,3,FALSE)</f>
        <v>16.077369999999998</v>
      </c>
      <c r="F25" s="92">
        <f t="shared" ref="F25:F31" si="0">+E25*D25</f>
        <v>16.077369999999998</v>
      </c>
      <c r="G25" s="93">
        <f t="shared" ref="G25:G31" si="1"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K25" s="196" t="str">
        <f>IF(D25&gt;0,IF(VLOOKUP(B25,cennik!A:L,12,FALSE)="O",1,""),"")</f>
        <v/>
      </c>
      <c r="L25" s="6"/>
    </row>
    <row r="26" spans="1:12" ht="12.75" customHeight="1">
      <c r="A26" s="7" t="str">
        <f>+Faworyt!A27</f>
        <v>spodný profil:</v>
      </c>
      <c r="B26" s="16">
        <f>+VLOOKUP(O6,data!$C$4:$D$73,2,0)</f>
        <v>84385</v>
      </c>
      <c r="C26" s="25" t="str">
        <f>IF($B$26=data!$D$54,texty!$A$239,+VLOOKUP($B$26,cennik!$A$3:$G$907,2,FALSE))</f>
        <v>SEVROLL Elegant spodné vedenie 1,7m striebor</v>
      </c>
      <c r="D26" s="17">
        <v>1</v>
      </c>
      <c r="E26" s="92">
        <f>IF(B26=data!$D$63,0,+VLOOKUP(B26,cennik!$A$3:$G$907,3,FALSE))</f>
        <v>9.0389999999999997</v>
      </c>
      <c r="F26" s="92">
        <f t="shared" si="0"/>
        <v>9.0389999999999997</v>
      </c>
      <c r="G26" s="93">
        <f t="shared" si="1"/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K26" s="196" t="str">
        <f>IF(D26&gt;0,IF(VLOOKUP(B26,cennik!A:L,12,FALSE)="O",1,""),"")</f>
        <v/>
      </c>
      <c r="L26" s="6"/>
    </row>
    <row r="27" spans="1:12" ht="12.75" customHeight="1">
      <c r="A27" s="7" t="str">
        <f>+Faworyt!A28</f>
        <v>krycí profil (maska):</v>
      </c>
      <c r="B27" s="16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17">
        <v>1</v>
      </c>
      <c r="E27" s="92">
        <f>IF(B27=data!$D$63,0,+VLOOKUP(B27,cennik!$A$3:$G$907,3,FALSE))</f>
        <v>2.8683800000000002</v>
      </c>
      <c r="F27" s="92">
        <f t="shared" si="0"/>
        <v>2.8683800000000002</v>
      </c>
      <c r="G27" s="93">
        <f t="shared" si="1"/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K27" s="196" t="str">
        <f>IF(D27&gt;0,IF(VLOOKUP(B27,cennik!A:L,12,FALSE)="O",1,""),"")</f>
        <v/>
      </c>
      <c r="L27" s="6"/>
    </row>
    <row r="28" spans="1:12" ht="12.75" customHeight="1">
      <c r="A28" s="7" t="str">
        <f>+Faworyt!A29</f>
        <v>horný vozík</v>
      </c>
      <c r="B28" s="16">
        <v>228023</v>
      </c>
      <c r="C28" s="38" t="str">
        <f>+VLOOKUP(B28,cennik!$A:$G,2,FALSE)</f>
        <v>SEVROLL Focus horný vozík 18mm - 2ks</v>
      </c>
      <c r="D28" s="17">
        <f>IF((D41+D42)&gt;D4,0,D4-(D41+D42))</f>
        <v>3</v>
      </c>
      <c r="E28" s="219">
        <f>+VLOOKUP(B28,cennik!$A:$G,3,FALSE)</f>
        <v>4.0494700000000003</v>
      </c>
      <c r="F28" s="92">
        <f t="shared" si="0"/>
        <v>12.148410000000002</v>
      </c>
      <c r="G28" s="93">
        <f t="shared" si="1"/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IF(F4=M61,362316,229440)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 t="shared" si="0"/>
        <v>13.666979999999999</v>
      </c>
      <c r="G29" s="93">
        <f t="shared" si="1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/>
    </row>
    <row r="30" spans="1:12" ht="12.75" customHeight="1">
      <c r="A30" s="7" t="str">
        <f>+Faworyt!A31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+VLOOKUP(P7,data!$C$582:$D$583,2,0)</f>
        <v>246893</v>
      </c>
      <c r="C31" s="38" t="str">
        <f>+VLOOKUP(B31,cennik!$A:$G,2,FALSE)</f>
        <v>SEVROLL Oaza II úch.lišta 2,7m strieborná</v>
      </c>
      <c r="D31" s="17">
        <f>IF(B11&lt;=1347,D4*2/2,D4*2)</f>
        <v>3</v>
      </c>
      <c r="E31" s="219">
        <f>+VLOOKUP(B31,cennik!$A:$G,3,FALSE)</f>
        <v>14.799860000000001</v>
      </c>
      <c r="F31" s="92">
        <f t="shared" si="0"/>
        <v>44.39958</v>
      </c>
      <c r="G31" s="93">
        <f t="shared" si="1"/>
        <v>44.399579999999993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92"/>
      <c r="G32" s="93"/>
      <c r="H32" s="6"/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</row>
    <row r="33" spans="1:12" ht="12.75" customHeight="1">
      <c r="A33" s="14" t="str">
        <f>texty!$A$66</f>
        <v>Voliteľné príslušenstvo:</v>
      </c>
      <c r="B33" s="122"/>
      <c r="C33" s="123"/>
      <c r="D33" s="492" t="str">
        <f>+Faworyt!D34</f>
        <v>zadajte počet:</v>
      </c>
      <c r="E33" s="92"/>
      <c r="F33" s="92"/>
      <c r="G33" s="93"/>
      <c r="H33" s="6"/>
      <c r="I33" s="483" t="str">
        <f>IFERROR(IF((VLOOKUP(B33,cennik!A:L,12,0))="O",texty!$A$250,""),"")</f>
        <v/>
      </c>
      <c r="K33" s="196"/>
      <c r="L33" s="3"/>
    </row>
    <row r="34" spans="1:1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29"/>
      <c r="K34" s="196" t="str">
        <f>IF(D34&gt;0,IF(VLOOKUP(B34,cennik!A:L,12,FALSE)="O",1,""),"")</f>
        <v/>
      </c>
      <c r="L34" s="3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2">+E35*D35</f>
        <v>0</v>
      </c>
      <c r="G35" s="105">
        <f t="shared" ref="G35:G57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K41" s="196" t="str">
        <f>IF(D41&gt;0,IF(VLOOKUP(B41,cennik!A:L,12,FALSE)="O",1,""),"")</f>
        <v/>
      </c>
      <c r="L41" s="3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 t="str">
        <f>IF(D42&gt;0,IF(VLOOKUP(B42,cennik!A:L,12,FALSE)="O",1,""),"")</f>
        <v/>
      </c>
      <c r="L42" s="3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6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  <c r="L47" s="6"/>
    </row>
    <row r="48" spans="1:1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K54" s="196" t="str">
        <f>IF(D54&gt;0,IF(VLOOKUP(B54,cennik!A:L,12,FALSE)="O",1,""),"")</f>
        <v/>
      </c>
      <c r="L54" s="6"/>
    </row>
    <row r="55" spans="1:14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/>
      <c r="K55" s="196" t="str">
        <f>IF(D55&gt;0,IF(VLOOKUP(B55,cennik!A:L,12,FALSE)="O",1,""),"")</f>
        <v/>
      </c>
      <c r="L55" s="6"/>
    </row>
    <row r="56" spans="1:14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K56" s="196" t="str">
        <f>IF(D56&gt;0,IF(VLOOKUP(B56,cennik!A:L,12,FALSE)="O",1,""),"")</f>
        <v/>
      </c>
      <c r="L56" s="6"/>
    </row>
    <row r="57" spans="1:14" ht="12.75" customHeight="1">
      <c r="A57" s="7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2"/>
        <v>0</v>
      </c>
      <c r="G57" s="105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K57" s="196" t="str">
        <f>IF(D57&gt;0,IF(VLOOKUP(B57,cennik!A:L,12,FALSE)="O",1,""),"")</f>
        <v/>
      </c>
      <c r="L57" s="6"/>
    </row>
    <row r="58" spans="1:14" ht="12.75" customHeight="1">
      <c r="A58" s="7"/>
      <c r="B58" s="24"/>
      <c r="C58" s="25"/>
      <c r="D58" s="219"/>
      <c r="E58" s="219"/>
      <c r="F58" s="106"/>
      <c r="G58" s="93"/>
      <c r="H58" s="6"/>
      <c r="I58" s="186"/>
      <c r="K58" s="196"/>
      <c r="L58" s="6"/>
    </row>
    <row r="59" spans="1:14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K59" s="135"/>
      <c r="L59" s="6"/>
    </row>
    <row r="60" spans="1:14" ht="12.75" customHeight="1">
      <c r="A60" s="285" t="str">
        <f>texty!$A$244</f>
        <v>Technický nákres tohoto systému</v>
      </c>
      <c r="D60" s="79" t="str">
        <f>+Faworyt!D61</f>
        <v>CELKOM  (bez DPH)</v>
      </c>
      <c r="E60" s="100"/>
      <c r="F60" s="112">
        <f>SUM(F25:F57)</f>
        <v>98.199719999999999</v>
      </c>
      <c r="G60" s="112">
        <f>SUM(G25:G57)</f>
        <v>98.199719999999985</v>
      </c>
      <c r="H60" s="6" t="str">
        <f>cennik!$B$2</f>
        <v>EUR</v>
      </c>
      <c r="I60" s="186"/>
      <c r="K60" s="186"/>
    </row>
    <row r="61" spans="1:14" ht="12.75" customHeight="1">
      <c r="A61" s="76" t="str">
        <f>System10!$A$67</f>
        <v>Vaša poznámka:</v>
      </c>
      <c r="B61" s="670"/>
      <c r="C61" s="671"/>
      <c r="D61" s="671"/>
      <c r="E61" s="671"/>
      <c r="F61" s="671"/>
      <c r="G61" s="672"/>
      <c r="H61" s="6"/>
      <c r="L61" s="5" t="str">
        <f>texty!$A$128</f>
        <v xml:space="preserve">strieborná </v>
      </c>
      <c r="M61" s="21" t="s">
        <v>2884</v>
      </c>
    </row>
    <row r="62" spans="1:14" ht="12.75" customHeight="1">
      <c r="A62" s="668">
        <f>profil!$U$15</f>
        <v>0</v>
      </c>
      <c r="B62" s="658"/>
      <c r="C62" s="658"/>
      <c r="D62" s="658"/>
      <c r="E62" s="658"/>
      <c r="F62" s="658"/>
      <c r="G62" s="658"/>
      <c r="H62" s="658"/>
      <c r="L62" s="5" t="str">
        <f>texty!$A$130</f>
        <v>oliva</v>
      </c>
      <c r="M62" s="21" t="s">
        <v>45</v>
      </c>
    </row>
    <row r="63" spans="1:14" ht="12.75" customHeight="1">
      <c r="A63" s="659" t="str">
        <f>IF(N63=1,texty!$A$215,IF(K63&gt;0,texty!$A$214,""))</f>
        <v/>
      </c>
      <c r="B63" s="659"/>
      <c r="C63" s="659"/>
      <c r="D63" s="659"/>
      <c r="E63" s="659"/>
      <c r="F63" s="659"/>
      <c r="G63" s="659"/>
      <c r="H63" s="659"/>
      <c r="K63" s="6">
        <f>SUM(K25:K57)</f>
        <v>0</v>
      </c>
      <c r="N63" s="5">
        <f>IF(ISERROR(K63),1,0)</f>
        <v>0</v>
      </c>
    </row>
    <row r="64" spans="1:14" ht="12.75" customHeight="1"/>
    <row r="65" ht="12.75" customHeight="1"/>
    <row r="66" ht="12.75" customHeight="1"/>
    <row r="67" ht="12.75" customHeight="1"/>
    <row r="68" ht="12.75" customHeight="1"/>
  </sheetData>
  <sheetProtection algorithmName="SHA-512" hashValue="XLVk8yuoTxal1yZbHJQPUYuK2GWSCY41lrjDr77Icsw7OE1Rmq+Jyu1KYQrzTkUUR5+o5UzVnbLdXCpxhDhk+A==" saltValue="lr7cNG5uht3hClc+NSY/Ag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D6">
    <cfRule type="expression" dxfId="121" priority="7">
      <formula>$D$4=4</formula>
    </cfRule>
    <cfRule type="expression" dxfId="120" priority="8">
      <formula>$D$4&lt;&gt;4</formula>
    </cfRule>
  </conditionalFormatting>
  <conditionalFormatting sqref="G4:I6">
    <cfRule type="expression" dxfId="119" priority="6">
      <formula>$D$4=4</formula>
    </cfRule>
  </conditionalFormatting>
  <conditionalFormatting sqref="I16:I17">
    <cfRule type="expression" dxfId="118" priority="4">
      <formula>$F$4=$M$62</formula>
    </cfRule>
  </conditionalFormatting>
  <conditionalFormatting sqref="I18:I19">
    <cfRule type="expression" dxfId="117" priority="5">
      <formula>$F$4=$M$61</formula>
    </cfRule>
  </conditionalFormatting>
  <conditionalFormatting sqref="A13">
    <cfRule type="expression" dxfId="116" priority="3">
      <formula>SUM($D$39:$D$40)&gt;0</formula>
    </cfRule>
  </conditionalFormatting>
  <dataValidations count="7">
    <dataValidation type="list" allowBlank="1" showInputMessage="1" showErrorMessage="1" sqref="E5:F6" xr:uid="{00000000-0002-0000-1800-000000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7DB967C-BA9F-47CE-B92E-34CB16454B1F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71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46.5" style="5" bestFit="1" customWidth="1"/>
    <col min="4" max="4" width="14.832031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-9.8000000000000007</v>
      </c>
    </row>
    <row r="2" spans="1:16" ht="18.75" customHeight="1">
      <c r="A2" s="538" t="s">
        <v>728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 2 742 mm /")</f>
        <v>výška / max. 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27" customHeight="1">
      <c r="A4" s="10" t="str">
        <f>+Faworyt!A4</f>
        <v>VNÚTORNÝ ROZMER SKRINE:</v>
      </c>
      <c r="B4" s="56"/>
      <c r="C4" s="56"/>
      <c r="D4" s="22">
        <v>3</v>
      </c>
      <c r="E4" s="221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+System10!B5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57">
        <f>+B4-42</f>
        <v>-42</v>
      </c>
      <c r="C7" s="59">
        <f>+((C4-3+36*(D4-1))/D4+IF(AND(D4=4,D6=2),M1,0))</f>
        <v>23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57">
        <f>+B7-2</f>
        <v>-44</v>
      </c>
      <c r="C8" s="59">
        <f>+C7-22</f>
        <v>1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+Faworyt!A9</f>
        <v>rozmer výplne 12mm:</v>
      </c>
      <c r="B9" s="57">
        <f>+B8</f>
        <v>-44</v>
      </c>
      <c r="C9" s="59">
        <f>+C7-7</f>
        <v>16</v>
      </c>
      <c r="D9" s="8"/>
      <c r="E9" s="8"/>
      <c r="F9" s="8"/>
      <c r="G9" s="51"/>
      <c r="H9" s="6"/>
      <c r="L9" s="37"/>
      <c r="M9" s="36"/>
    </row>
    <row r="10" spans="1:16" ht="12.75" customHeight="1">
      <c r="A10" s="10" t="str">
        <f>+Faworyt!A10</f>
        <v>rozmer zrkadla /na DTD 12mm/</v>
      </c>
      <c r="B10" s="57">
        <f>+B8-4</f>
        <v>-48</v>
      </c>
      <c r="C10" s="508">
        <f>+C9-20</f>
        <v>-4</v>
      </c>
      <c r="D10" s="8"/>
      <c r="E10" s="8"/>
      <c r="F10" s="8"/>
      <c r="G10" s="49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502">
        <f>B8+2</f>
        <v>-42</v>
      </c>
      <c r="C11" s="503"/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509"/>
      <c r="D12" s="8"/>
      <c r="E12" s="8"/>
      <c r="G12" s="6"/>
      <c r="L12" s="6"/>
    </row>
    <row r="13" spans="1:16" ht="20" customHeight="1">
      <c r="A13" s="644" t="str">
        <f>IF(SUM(D39:D40)&gt;0,texty!A246,"")</f>
        <v/>
      </c>
      <c r="B13" s="644"/>
      <c r="C13" s="674" t="str">
        <f>texty!A78</f>
        <v>dodatočné odpočty výšky vypočítaných výplní pri použití deliacich profilov výplne:</v>
      </c>
      <c r="D13" s="8"/>
      <c r="E13" s="8"/>
      <c r="F13" s="8"/>
      <c r="G13" s="6"/>
      <c r="H13" s="6"/>
      <c r="L13" s="35"/>
    </row>
    <row r="14" spans="1:16" ht="20" customHeight="1">
      <c r="A14" s="644"/>
      <c r="B14" s="644"/>
      <c r="C14" s="674"/>
      <c r="D14" s="8"/>
      <c r="E14" s="8"/>
      <c r="F14" s="8"/>
      <c r="G14" s="6"/>
      <c r="H14" s="6"/>
      <c r="L14" s="35"/>
    </row>
    <row r="15" spans="1:16" ht="12.75" customHeight="1">
      <c r="A15" s="7"/>
      <c r="B15" s="58"/>
      <c r="C15" s="87"/>
      <c r="D15" s="8"/>
      <c r="E15" s="8"/>
      <c r="F15" s="8"/>
      <c r="G15" s="6"/>
      <c r="H15" s="6"/>
      <c r="L15" s="35"/>
    </row>
    <row r="16" spans="1:16" ht="12.75" customHeight="1">
      <c r="A16" s="193"/>
      <c r="B16" s="65"/>
      <c r="C16" s="169"/>
      <c r="D16" s="8"/>
      <c r="E16" s="8"/>
      <c r="F16" s="8"/>
      <c r="G16" s="6"/>
      <c r="H16" s="6"/>
      <c r="I16" s="647" t="s">
        <v>2890</v>
      </c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H17" s="6"/>
      <c r="I17" s="647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H19" s="6"/>
      <c r="I19" s="648"/>
      <c r="L19" s="6"/>
    </row>
    <row r="20" spans="1:12" ht="16.5" customHeight="1">
      <c r="A20" s="10"/>
      <c r="B20" s="8"/>
      <c r="C20" s="8"/>
      <c r="E20" s="8"/>
      <c r="F20" s="8"/>
      <c r="G20" s="6"/>
      <c r="H20" s="6"/>
      <c r="L20" s="6"/>
    </row>
    <row r="21" spans="1:12" ht="16.5" customHeight="1">
      <c r="A21" s="499" t="s">
        <v>2954</v>
      </c>
      <c r="B21" s="520" t="s">
        <v>2961</v>
      </c>
      <c r="C21" s="8"/>
      <c r="D21" s="13"/>
      <c r="E21" s="8"/>
      <c r="F21" s="8"/>
      <c r="G21" s="6"/>
      <c r="H21" s="6"/>
      <c r="L21" s="6"/>
    </row>
    <row r="22" spans="1:12" ht="12.75" customHeight="1">
      <c r="A22" s="7"/>
      <c r="B22" s="8"/>
      <c r="C22" s="8"/>
      <c r="D22" s="8"/>
      <c r="E22" s="8"/>
      <c r="F22" s="6"/>
      <c r="G22" s="135" t="str">
        <f>+Faworyt!$G$23</f>
        <v>partnerská zľava:</v>
      </c>
      <c r="H22" s="6"/>
      <c r="L22" s="6"/>
    </row>
    <row r="23" spans="1:12" ht="12.75" customHeight="1">
      <c r="A23" s="132" t="str">
        <f>+Faworyt!A24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L23" s="6"/>
    </row>
    <row r="24" spans="1:12" s="83" customFormat="1" ht="12.75" customHeight="1">
      <c r="A24" s="81"/>
      <c r="B24" s="82" t="str">
        <f>+Faworyt!B25</f>
        <v>kód</v>
      </c>
      <c r="C24" s="82" t="str">
        <f>+Faworyt!C25</f>
        <v>názov</v>
      </c>
      <c r="D24" s="82" t="str">
        <f>+Faworyt!D25</f>
        <v>ks</v>
      </c>
      <c r="E24" s="82" t="str">
        <f>+Faworyt!E25</f>
        <v>cena/ks</v>
      </c>
      <c r="F24" s="18" t="str">
        <f>+Faworyt!F25</f>
        <v>cena celkom</v>
      </c>
      <c r="G24" s="18" t="str">
        <f>+Faworyt!G25</f>
        <v>celkom netto:</v>
      </c>
      <c r="H24" s="18"/>
      <c r="I24" s="18" t="str">
        <f>texty!A29</f>
        <v>Poznámka:</v>
      </c>
      <c r="J24" s="18"/>
      <c r="L24" s="18"/>
    </row>
    <row r="25" spans="1:12" ht="12.75" customHeight="1">
      <c r="A25" s="7" t="str">
        <f>+Faworyt!A26</f>
        <v>Horný profil:</v>
      </c>
      <c r="B25" s="8">
        <f>+VLOOKUP(M6,data!$C$176:$D$210,2,0)</f>
        <v>89106</v>
      </c>
      <c r="C25" s="25" t="str">
        <f>+VLOOKUP(B25,cennik!$A$3:$G$984,2,FALSE)</f>
        <v>SEVROLL Gemini horné vedenie 1,7m strieborná</v>
      </c>
      <c r="D25" s="17">
        <f>IF(B25="N/A",0,1)</f>
        <v>1</v>
      </c>
      <c r="E25" s="92">
        <f>+VLOOKUP(B25,cennik!$A:$G,3,FALSE)</f>
        <v>16.077369999999998</v>
      </c>
      <c r="F25" s="92">
        <f t="shared" ref="F25:F31" si="0">+E25*D25</f>
        <v>16.077369999999998</v>
      </c>
      <c r="G25" s="93">
        <f t="shared" ref="G25:G31" si="1"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3" t="str">
        <f>+Faworyt!A27</f>
        <v>spodný profil:</v>
      </c>
      <c r="B26" s="16">
        <f>+VLOOKUP(O6,data!$C$4:$D$73,2,0)</f>
        <v>84385</v>
      </c>
      <c r="C26" s="25" t="str">
        <f>IF($B$26=data!$D$54,texty!$A$239,+VLOOKUP($B$26,cennik!$A$3:$G$907,2,FALSE))</f>
        <v>SEVROLL Elegant spodné vedenie 1,7m striebor</v>
      </c>
      <c r="D26" s="17">
        <v>1</v>
      </c>
      <c r="E26" s="92">
        <f>IF(B26=data!$D$63,0,+VLOOKUP(B26,cennik!$A$3:$G$907,3,FALSE))</f>
        <v>9.0389999999999997</v>
      </c>
      <c r="F26" s="92">
        <f t="shared" si="0"/>
        <v>9.0389999999999997</v>
      </c>
      <c r="G26" s="93">
        <f t="shared" si="1"/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" t="str">
        <f>+Faworyt!A28</f>
        <v>krycí profil (maska):</v>
      </c>
      <c r="B27" s="16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17">
        <v>1</v>
      </c>
      <c r="E27" s="92">
        <f>IF(B27=data!$D$63,0,+VLOOKUP(B27,cennik!$A$3:$G$907,3,FALSE))</f>
        <v>2.8683800000000002</v>
      </c>
      <c r="F27" s="92">
        <f t="shared" si="0"/>
        <v>2.8683800000000002</v>
      </c>
      <c r="G27" s="93">
        <f t="shared" si="1"/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+Faworyt!A29</f>
        <v>horný vozík</v>
      </c>
      <c r="B28" s="16">
        <v>228023</v>
      </c>
      <c r="C28" s="38" t="str">
        <f>+VLOOKUP(B28,cennik!$A:$G,2,FALSE)</f>
        <v>SEVROLL Focus horný vozík 18mm - 2ks</v>
      </c>
      <c r="D28" s="17">
        <f>IF((D41+D42)&gt;D4,0,D4-(D41+D42))</f>
        <v>3</v>
      </c>
      <c r="E28" s="219">
        <f>+VLOOKUP(B28,cennik!$A:$G,3,FALSE)</f>
        <v>4.0494700000000003</v>
      </c>
      <c r="F28" s="92">
        <f t="shared" si="0"/>
        <v>12.148410000000002</v>
      </c>
      <c r="G28" s="93">
        <f t="shared" si="1"/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IF(F4=M64,362316,229440)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 t="shared" si="0"/>
        <v>13.666979999999999</v>
      </c>
      <c r="G29" s="93">
        <f t="shared" si="1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 t="str">
        <f>texty!A89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+VLOOKUP(P7,data!$C$573:$D$577,2,0)</f>
        <v>135532</v>
      </c>
      <c r="C31" s="38" t="str">
        <f>+VLOOKUP(B31,cennik!$A:$G,2,FALSE)</f>
        <v>SEVROLL Victoria II úcht.lišta 18mm 2,7m str</v>
      </c>
      <c r="D31" s="17">
        <f>IF(B11&lt;=1347,D4*2/2,D4*2)</f>
        <v>3</v>
      </c>
      <c r="E31" s="219">
        <f>+VLOOKUP(B31,cennik!$A:$G,3,FALSE)</f>
        <v>18.077999999999999</v>
      </c>
      <c r="F31" s="92">
        <f t="shared" si="0"/>
        <v>54.233999999999995</v>
      </c>
      <c r="G31" s="93">
        <f t="shared" si="1"/>
        <v>54.233999999999995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92"/>
      <c r="G32" s="93"/>
      <c r="H32" s="6"/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L32" s="6"/>
    </row>
    <row r="33" spans="1:12" ht="12.75" customHeight="1">
      <c r="A33" s="14" t="str">
        <f>+System10!$A$41</f>
        <v>Voliteľné príslušenstvo:</v>
      </c>
      <c r="B33" s="16"/>
      <c r="C33" s="25"/>
      <c r="D33" s="492" t="str">
        <f>+Faworyt!D34</f>
        <v>zadajte počet:</v>
      </c>
      <c r="E33" s="92"/>
      <c r="F33" s="92"/>
      <c r="G33" s="93"/>
      <c r="H33" s="6"/>
      <c r="I33" s="483" t="str">
        <f>IFERROR(IF((VLOOKUP(B33,cennik!A:L,12,0))="O",texty!$A$250,""),"")</f>
        <v/>
      </c>
      <c r="L33" s="6"/>
    </row>
    <row r="34" spans="1:1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5"/>
      <c r="L34" s="6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2">+E35*D35</f>
        <v>0</v>
      </c>
      <c r="G35" s="105">
        <f t="shared" ref="G35:G57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5"/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5"/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5"/>
      <c r="L37" s="6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5"/>
      <c r="L38" s="6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5"/>
      <c r="L39" s="6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5"/>
      <c r="L40" s="6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5"/>
      <c r="L41" s="6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5"/>
      <c r="L42" s="3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5"/>
      <c r="L43" s="3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5"/>
      <c r="L44" s="3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5"/>
      <c r="L45" s="3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5"/>
      <c r="L46" s="3"/>
    </row>
    <row r="47" spans="1:1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5"/>
      <c r="L47" s="3"/>
    </row>
    <row r="48" spans="1:1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5"/>
      <c r="L48" s="3"/>
    </row>
    <row r="49" spans="1:13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93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5"/>
      <c r="L49" s="6"/>
    </row>
    <row r="50" spans="1:13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93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5"/>
      <c r="L50" s="6"/>
    </row>
    <row r="51" spans="1:13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93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5"/>
      <c r="L51" s="6"/>
    </row>
    <row r="52" spans="1:13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93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5"/>
    </row>
    <row r="53" spans="1:13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5"/>
      <c r="L53" s="6"/>
    </row>
    <row r="54" spans="1:13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5"/>
      <c r="L54" s="6"/>
    </row>
    <row r="55" spans="1:13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/>
      <c r="K55" s="196" t="str">
        <f>IF(D55&gt;0,IF(VLOOKUP(B55,cennik!A:L,12,FALSE)="O",1,""),"")</f>
        <v/>
      </c>
      <c r="L55" s="6"/>
    </row>
    <row r="56" spans="1:13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5"/>
      <c r="L56" s="6"/>
    </row>
    <row r="57" spans="1:13" ht="12.75" customHeight="1">
      <c r="A57" s="7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2"/>
        <v>0</v>
      </c>
      <c r="G57" s="105">
        <f t="shared" si="3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K57" s="5"/>
      <c r="L57" s="6"/>
    </row>
    <row r="58" spans="1:13" ht="12.75" hidden="1" customHeight="1">
      <c r="A58" s="7"/>
      <c r="B58" s="24"/>
      <c r="C58" s="25"/>
      <c r="D58" s="93"/>
      <c r="E58" s="92"/>
      <c r="F58" s="97"/>
      <c r="G58" s="105"/>
      <c r="H58" s="6"/>
      <c r="I58" s="186"/>
      <c r="J58" s="196" t="str">
        <f>IF(D58&gt;0,IF(VLOOKUP(B58,cennik!A:L,12,FALSE)="O",1,""),"")</f>
        <v/>
      </c>
      <c r="K58" s="5"/>
      <c r="L58" s="6"/>
    </row>
    <row r="59" spans="1:13" ht="12.75" hidden="1" customHeight="1">
      <c r="A59" s="7"/>
      <c r="B59" s="24"/>
      <c r="C59" s="25"/>
      <c r="D59" s="93"/>
      <c r="E59" s="92"/>
      <c r="F59" s="97"/>
      <c r="G59" s="93"/>
      <c r="H59" s="6"/>
      <c r="I59" s="186"/>
      <c r="J59" s="196" t="str">
        <f>IF(D59&gt;0,IF(VLOOKUP(B59,cennik!A:L,12,FALSE)="O",1,""),"")</f>
        <v/>
      </c>
      <c r="K59" s="5"/>
      <c r="L59" s="6"/>
    </row>
    <row r="60" spans="1:13" ht="12.75" customHeight="1">
      <c r="A60" s="75"/>
      <c r="C60" s="40"/>
      <c r="D60" s="93"/>
      <c r="E60" s="92"/>
      <c r="F60" s="104"/>
      <c r="G60" s="93"/>
      <c r="H60" s="6"/>
      <c r="I60" s="186"/>
      <c r="K60" s="5"/>
      <c r="L60" s="6"/>
    </row>
    <row r="61" spans="1:13" ht="16">
      <c r="A61" s="285" t="str">
        <f>texty!$A$190</f>
        <v>Ďalšie príslušenstvo</v>
      </c>
      <c r="B61" s="286"/>
      <c r="C61" s="286"/>
      <c r="D61" s="286"/>
      <c r="E61" s="286"/>
      <c r="F61" s="286"/>
      <c r="G61" s="286"/>
      <c r="H61" s="286"/>
      <c r="I61" s="286"/>
      <c r="K61" s="5"/>
      <c r="L61" s="6"/>
    </row>
    <row r="62" spans="1:13" ht="12.75" customHeight="1">
      <c r="A62" s="285" t="str">
        <f>texty!$A$244</f>
        <v>Technický nákres tohoto systému</v>
      </c>
      <c r="B62" s="17"/>
      <c r="C62" s="25"/>
      <c r="D62" s="78" t="str">
        <f>+Faworyt!D61</f>
        <v>CELKOM  (bez DPH)</v>
      </c>
      <c r="E62" s="98"/>
      <c r="F62" s="102">
        <f>SUM(F25:F59)</f>
        <v>108.03413999999999</v>
      </c>
      <c r="G62" s="113">
        <f>SUM(G25:G59)</f>
        <v>108.03413999999999</v>
      </c>
      <c r="H62" s="6" t="str">
        <f>cennik!$B$2</f>
        <v>EUR</v>
      </c>
      <c r="I62" s="186"/>
      <c r="J62" s="186"/>
      <c r="L62" s="6"/>
    </row>
    <row r="63" spans="1:13" ht="12.75" customHeight="1">
      <c r="A63" s="76" t="str">
        <f>System10!$A$67</f>
        <v>Vaša poznámka:</v>
      </c>
      <c r="B63" s="670"/>
      <c r="C63" s="671"/>
      <c r="D63" s="671"/>
      <c r="E63" s="671"/>
      <c r="F63" s="671"/>
      <c r="G63" s="672"/>
      <c r="H63" s="6"/>
      <c r="L63" s="6"/>
    </row>
    <row r="64" spans="1:13" ht="12.75" customHeight="1">
      <c r="A64" s="668">
        <f>profil!$U$15</f>
        <v>0</v>
      </c>
      <c r="B64" s="658"/>
      <c r="C64" s="658"/>
      <c r="D64" s="658"/>
      <c r="E64" s="658"/>
      <c r="F64" s="658"/>
      <c r="G64" s="658"/>
      <c r="H64" s="658"/>
      <c r="L64" s="5" t="str">
        <f>data!J4</f>
        <v xml:space="preserve">strieborná </v>
      </c>
      <c r="M64" s="21" t="s">
        <v>2884</v>
      </c>
    </row>
    <row r="65" spans="1:14" ht="12.75" customHeight="1">
      <c r="A65" s="659" t="str">
        <f>IF(N65=1,texty!$A$215,IF(J65&gt;0,texty!$A$214,""))</f>
        <v/>
      </c>
      <c r="B65" s="659"/>
      <c r="C65" s="659"/>
      <c r="D65" s="659"/>
      <c r="E65" s="659"/>
      <c r="F65" s="659"/>
      <c r="G65" s="659"/>
      <c r="H65" s="659"/>
      <c r="J65" s="6">
        <f>SUM(J25:J57)</f>
        <v>0</v>
      </c>
      <c r="L65" s="5" t="str">
        <f>data!J6</f>
        <v>oliva</v>
      </c>
      <c r="M65" s="21" t="s">
        <v>45</v>
      </c>
      <c r="N65" s="5">
        <f>IF(ISERROR(J65),1,0)</f>
        <v>0</v>
      </c>
    </row>
    <row r="66" spans="1:14" ht="12.75" customHeight="1">
      <c r="L66" s="5" t="str">
        <f>data!J7</f>
        <v>oliva kartáčovaná</v>
      </c>
    </row>
    <row r="67" spans="1:14" ht="12.75" customHeight="1">
      <c r="L67" s="5" t="str">
        <f>data!J8</f>
        <v>kart. tm. oliva</v>
      </c>
    </row>
    <row r="68" spans="1:14" ht="12.75" customHeight="1">
      <c r="L68" s="5" t="str">
        <f>data!J9</f>
        <v>kart. čierna</v>
      </c>
    </row>
    <row r="69" spans="1:14" ht="12.75" customHeight="1"/>
    <row r="70" spans="1:14" ht="12.75" customHeight="1"/>
    <row r="71" spans="1:14" ht="12.75" customHeight="1"/>
  </sheetData>
  <sheetProtection algorithmName="SHA-512" hashValue="XjLGms1ODa3Egaz1htkDU6K0lGgorpsJvJy/Ih7It9Vzpq/SD9WcBbfUqoKlyQHuHnkeAOFSJOva5i3/iR8gFQ==" saltValue="K3mh5t2/QchWLSq6yyQ96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6:I17">
    <cfRule type="expression" dxfId="110" priority="4">
      <formula>$F$4=$M$65</formula>
    </cfRule>
  </conditionalFormatting>
  <conditionalFormatting sqref="I18:I19">
    <cfRule type="expression" dxfId="109" priority="5">
      <formula>$F$4=$M$64</formula>
    </cfRule>
  </conditionalFormatting>
  <conditionalFormatting sqref="A13">
    <cfRule type="expression" dxfId="108" priority="3">
      <formula>SUM($D$39:$D$40)&gt;0</formula>
    </cfRule>
  </conditionalFormatting>
  <dataValidations count="7">
    <dataValidation type="list" allowBlank="1" showInputMessage="1" showErrorMessage="1" sqref="E5:F6" xr:uid="{00000000-0002-0000-1900-000000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$M$64:$M$65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983284-85C6-4E24-9294-3A7C26140C65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="85" zoomScaleNormal="85" workbookViewId="0">
      <selection activeCell="E4" sqref="E4"/>
    </sheetView>
  </sheetViews>
  <sheetFormatPr baseColWidth="10" defaultColWidth="0" defaultRowHeight="0" customHeight="1" zeroHeight="1"/>
  <cols>
    <col min="1" max="1" width="35.83203125" style="5" customWidth="1"/>
    <col min="2" max="2" width="15.83203125" style="5" customWidth="1"/>
    <col min="3" max="3" width="46.5" style="5" bestFit="1" customWidth="1"/>
    <col min="4" max="4" width="14.33203125" style="5" customWidth="1"/>
    <col min="5" max="7" width="14.6640625" style="5" customWidth="1"/>
    <col min="8" max="8" width="4.6640625" style="5" customWidth="1"/>
    <col min="9" max="9" width="24.664062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16384" width="9.1640625" style="5" hidden="1"/>
  </cols>
  <sheetData>
    <row r="1" spans="1:15" ht="13.5" customHeight="1" thickBot="1">
      <c r="A1" s="7"/>
      <c r="B1" s="8"/>
      <c r="C1" s="8"/>
      <c r="D1" s="8"/>
      <c r="E1" s="8"/>
      <c r="F1" s="8"/>
      <c r="G1" s="6"/>
      <c r="H1" s="6"/>
      <c r="K1" s="6"/>
      <c r="L1" s="6">
        <v>2</v>
      </c>
      <c r="M1" s="5">
        <v>-8.3000000000000007</v>
      </c>
    </row>
    <row r="2" spans="1:15" ht="18.75" customHeight="1">
      <c r="A2" s="538" t="s">
        <v>1476</v>
      </c>
      <c r="B2" s="54" t="str">
        <f>profil!T7</f>
        <v>Zákazník:, , IČO:</v>
      </c>
      <c r="C2" s="8"/>
      <c r="D2" s="8"/>
      <c r="E2" s="8"/>
      <c r="F2" s="8"/>
      <c r="G2" s="6"/>
      <c r="H2" s="6"/>
      <c r="K2" s="6"/>
      <c r="L2" s="6">
        <v>3</v>
      </c>
    </row>
    <row r="3" spans="1:15" ht="29" thickBot="1">
      <c r="A3" s="539" t="str">
        <f>CONCATENATE(texty!A243," ",5,".",68)</f>
        <v>katalóg kovania 2018 str. 5.68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K3" s="6"/>
    </row>
    <row r="4" spans="1:15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8"/>
    </row>
    <row r="5" spans="1:15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5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5" ht="12.75" customHeight="1">
      <c r="A7" s="10" t="str">
        <f>+Faworyt!A7</f>
        <v>krídlo dverí:</v>
      </c>
      <c r="B7" s="57">
        <f>+B4-42</f>
        <v>-42</v>
      </c>
      <c r="C7" s="59">
        <f>(C4-3+30*(D4-1))/D4+IF(AND(D4=4,D6=2),M1,0)</f>
        <v>19</v>
      </c>
      <c r="D7" s="8"/>
      <c r="E7" s="8"/>
      <c r="F7" s="8"/>
      <c r="G7" s="50"/>
      <c r="H7" s="6"/>
      <c r="K7" s="6"/>
      <c r="N7" s="17">
        <f>IF(C4&lt;1701,1700,IF(C4&lt;2351,2350,IF(C4&lt;3001,3000,IF(C4&lt;4051,4050,6000))))</f>
        <v>1700</v>
      </c>
      <c r="O7" s="21" t="str">
        <f>+E4</f>
        <v xml:space="preserve">strieborná </v>
      </c>
    </row>
    <row r="8" spans="1:15" ht="12.75" customHeight="1">
      <c r="A8" s="10" t="str">
        <f>+Faworyt!A8</f>
        <v>rozmer výplne 18mm:</v>
      </c>
      <c r="B8" s="57">
        <f>+B7-2</f>
        <v>-44</v>
      </c>
      <c r="C8" s="59">
        <f>C7-7</f>
        <v>12</v>
      </c>
      <c r="D8" s="8"/>
      <c r="E8" s="8"/>
      <c r="F8" s="8"/>
      <c r="G8" s="3" t="str">
        <f>Faworyt!G8</f>
        <v>Maximálna hmotnosť krídla je 50 kg</v>
      </c>
      <c r="H8" s="6"/>
      <c r="K8" s="6"/>
      <c r="N8" s="23" t="str">
        <f>CONCATENATE(N7,"-",E4)</f>
        <v xml:space="preserve">1700-strieborná </v>
      </c>
      <c r="O8" s="21"/>
    </row>
    <row r="9" spans="1:15" ht="12.75" customHeight="1">
      <c r="A9" s="10" t="str">
        <f>texty!$A$51</f>
        <v>Dĺžka úchytkového profilu (+2 mm)</v>
      </c>
      <c r="B9" s="57">
        <f>B8+2</f>
        <v>-42</v>
      </c>
      <c r="C9" s="137"/>
      <c r="D9" s="8"/>
      <c r="E9" s="8"/>
      <c r="F9" s="8"/>
      <c r="G9" s="51"/>
      <c r="H9" s="6"/>
      <c r="K9" s="37"/>
      <c r="L9" s="36"/>
    </row>
    <row r="10" spans="1:15" ht="12.75" customHeight="1">
      <c r="A10" s="173" t="str">
        <f>texty!$A$64</f>
        <v>Pri tejto zostave nie je možné použiť kombináciu so sklom / zrkadlom</v>
      </c>
      <c r="B10" s="65"/>
      <c r="C10" s="86"/>
      <c r="D10" s="8"/>
      <c r="E10" s="8"/>
      <c r="F10" s="8"/>
      <c r="G10" s="49"/>
      <c r="H10" s="6"/>
      <c r="N10" s="17"/>
      <c r="O10" s="21"/>
    </row>
    <row r="11" spans="1:15" ht="28">
      <c r="A11" s="644" t="str">
        <f>IF(SUM(D39:D40)&gt;0,texty!A246,"")</f>
        <v/>
      </c>
      <c r="B11" s="644"/>
      <c r="C11" s="506" t="str">
        <f>texty!A78</f>
        <v>dodatočné odpočty výšky vypočítaných výplní pri použití deliacich profilov výplne:</v>
      </c>
      <c r="D11" s="8"/>
      <c r="E11" s="8"/>
      <c r="F11" s="8"/>
      <c r="G11" s="3"/>
      <c r="H11" s="6"/>
      <c r="K11" s="36"/>
      <c r="N11" s="23"/>
      <c r="O11" s="21"/>
    </row>
    <row r="12" spans="1:15" ht="12.75" customHeight="1">
      <c r="A12" s="644"/>
      <c r="B12" s="644"/>
      <c r="C12" s="169"/>
      <c r="D12" s="8"/>
      <c r="E12" s="8"/>
      <c r="F12" s="8"/>
      <c r="G12" s="6"/>
      <c r="H12" s="6"/>
      <c r="K12" s="6"/>
    </row>
    <row r="13" spans="1:15" ht="12.75" customHeight="1">
      <c r="A13" s="193"/>
      <c r="B13" s="65"/>
      <c r="C13" s="169"/>
      <c r="D13" s="8"/>
      <c r="E13" s="8"/>
      <c r="F13" s="8"/>
      <c r="G13" s="6"/>
      <c r="H13" s="6"/>
      <c r="K13" s="6"/>
    </row>
    <row r="14" spans="1:15" ht="12.75" customHeight="1">
      <c r="A14" s="193"/>
      <c r="B14" s="65"/>
      <c r="C14" s="169"/>
      <c r="D14" s="8"/>
      <c r="E14" s="8"/>
      <c r="F14" s="8"/>
      <c r="G14" s="6"/>
      <c r="H14" s="6"/>
      <c r="K14" s="6"/>
    </row>
    <row r="15" spans="1:15" ht="12.75" customHeight="1">
      <c r="A15" s="10"/>
      <c r="B15" s="58"/>
      <c r="C15" s="87"/>
      <c r="D15" s="8"/>
      <c r="E15" s="8"/>
      <c r="F15" s="8"/>
      <c r="G15" s="6"/>
      <c r="H15" s="6"/>
      <c r="K15" s="35"/>
    </row>
    <row r="16" spans="1:15" ht="12.75" customHeight="1">
      <c r="A16" s="7"/>
      <c r="B16" s="8"/>
      <c r="C16" s="12"/>
      <c r="D16" s="8"/>
      <c r="E16" s="8"/>
      <c r="F16" s="8"/>
      <c r="G16" s="6"/>
      <c r="H16" s="6"/>
      <c r="K16" s="6"/>
    </row>
    <row r="17" spans="1:11" ht="12.75" customHeight="1">
      <c r="A17" s="7"/>
      <c r="B17" s="8"/>
      <c r="C17" s="155"/>
      <c r="D17" s="8"/>
      <c r="E17" s="8"/>
      <c r="F17" s="8"/>
      <c r="G17" s="6"/>
      <c r="H17" s="6"/>
      <c r="I17" s="647" t="s">
        <v>2890</v>
      </c>
      <c r="K17" s="6"/>
    </row>
    <row r="18" spans="1:11" ht="12.75" customHeight="1">
      <c r="A18" s="7"/>
      <c r="B18" s="8"/>
      <c r="C18" s="155"/>
      <c r="D18" s="8"/>
      <c r="E18" s="8"/>
      <c r="F18" s="8"/>
      <c r="G18" s="6"/>
      <c r="H18" s="6"/>
      <c r="I18" s="647"/>
      <c r="K18" s="6"/>
    </row>
    <row r="19" spans="1:11" ht="14.25" customHeight="1">
      <c r="A19" s="7"/>
      <c r="B19" s="8"/>
      <c r="C19" s="27"/>
      <c r="D19" s="8"/>
      <c r="E19" s="8"/>
      <c r="F19" s="8"/>
      <c r="G19" s="6"/>
      <c r="H19" s="6"/>
      <c r="I19" s="648" t="s">
        <v>2891</v>
      </c>
      <c r="K19" s="6"/>
    </row>
    <row r="20" spans="1:11" ht="14.25" customHeight="1">
      <c r="A20" s="523" t="s">
        <v>2962</v>
      </c>
      <c r="B20" s="8"/>
      <c r="C20" s="27"/>
      <c r="D20" s="8"/>
      <c r="E20" s="8"/>
      <c r="F20" s="8"/>
      <c r="G20" s="6"/>
      <c r="H20" s="6"/>
      <c r="I20" s="648"/>
      <c r="K20" s="6"/>
    </row>
    <row r="21" spans="1:11" ht="16.5" customHeight="1">
      <c r="A21" s="7"/>
      <c r="B21" s="8"/>
      <c r="C21" s="8"/>
      <c r="E21" s="8"/>
      <c r="F21" s="8"/>
      <c r="G21" s="6"/>
      <c r="H21" s="6"/>
      <c r="K21" s="6"/>
    </row>
    <row r="22" spans="1:11" ht="16.5" customHeight="1">
      <c r="A22" s="7"/>
      <c r="B22" s="8"/>
      <c r="C22" s="8"/>
      <c r="D22" s="13"/>
      <c r="E22" s="8"/>
      <c r="F22" s="6"/>
      <c r="G22" s="135" t="str">
        <f>+Faworyt!G23</f>
        <v>partnerská zľava:</v>
      </c>
      <c r="H22" s="6"/>
      <c r="K22" s="6"/>
    </row>
    <row r="23" spans="1:11" ht="12.75" customHeight="1">
      <c r="A23" s="132" t="str">
        <f>+Faworyt!A24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K23" s="6"/>
    </row>
    <row r="24" spans="1:11" s="83" customFormat="1" ht="12.75" customHeight="1">
      <c r="A24" s="81"/>
      <c r="B24" s="82" t="str">
        <f>+Faworyt!B25</f>
        <v>kód</v>
      </c>
      <c r="C24" s="82" t="str">
        <f>+Faworyt!C25</f>
        <v>názov</v>
      </c>
      <c r="D24" s="82" t="str">
        <f>+Faworyt!D25</f>
        <v>ks</v>
      </c>
      <c r="E24" s="82" t="str">
        <f>+Faworyt!E25</f>
        <v>cena/ks</v>
      </c>
      <c r="F24" s="18" t="str">
        <f>+Faworyt!F25</f>
        <v>cena celkom</v>
      </c>
      <c r="G24" s="18" t="str">
        <f>+Faworyt!G25</f>
        <v>celkom netto:</v>
      </c>
      <c r="H24" s="18"/>
      <c r="I24" s="18" t="str">
        <f>texty!A29</f>
        <v>Poznámka:</v>
      </c>
      <c r="K24" s="18"/>
    </row>
    <row r="25" spans="1:11" ht="12.75" customHeight="1">
      <c r="A25" s="7" t="str">
        <f>+Faworyt!A26</f>
        <v>Horný profil:</v>
      </c>
      <c r="B25" s="8">
        <f>+VLOOKUP(N8,data!$C$176:$D$190,2,0)</f>
        <v>89106</v>
      </c>
      <c r="C25" s="38" t="str">
        <f>+VLOOKUP(B25,cennik!$A:$G,2,FALSE)</f>
        <v>SEVROLL Gemini horné vedenie 1,7m strieborná</v>
      </c>
      <c r="D25" s="8">
        <v>1</v>
      </c>
      <c r="E25" s="219">
        <f>+VLOOKUP(B25,cennik!$A:$G,3,FALSE)</f>
        <v>16.077369999999998</v>
      </c>
      <c r="F25" s="92">
        <f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</row>
    <row r="26" spans="1:11" ht="12.75" customHeight="1">
      <c r="A26" s="7" t="str">
        <f>+Faworyt!A27</f>
        <v>spodný profil:</v>
      </c>
      <c r="B26" s="8">
        <f>+VLOOKUP(O6,data!$C$4:$D$73,2,0)</f>
        <v>84385</v>
      </c>
      <c r="C26" s="38" t="str">
        <f>+VLOOKUP(B26,cennik!$A:$G,2,FALSE)</f>
        <v>SEVROLL Elegant spodné vedenie 1,7m striebor</v>
      </c>
      <c r="D26" s="8">
        <v>1</v>
      </c>
      <c r="E26" s="219">
        <f>+VLOOKUP(B26,cennik!$A:$G,3,FALSE)</f>
        <v>9.0389999999999997</v>
      </c>
      <c r="F26" s="92">
        <f>+E26*D26</f>
        <v>9.0389999999999997</v>
      </c>
      <c r="G26" s="93">
        <f>+F26*(100-$G$23)/100</f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</row>
    <row r="27" spans="1:11" ht="12.75" customHeight="1">
      <c r="A27" s="73" t="str">
        <f>+Faworyt!A28</f>
        <v>krycí profil (maska):</v>
      </c>
      <c r="B27" s="8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8">
        <v>1</v>
      </c>
      <c r="E27" s="92">
        <f>IF(B27=data!$D$63,0,+VLOOKUP(B27,cennik!$A$3:$G$907,3,FALSE))</f>
        <v>2.8683800000000002</v>
      </c>
      <c r="F27" s="92">
        <f t="shared" ref="F27" si="0">+E27*D27</f>
        <v>2.8683800000000002</v>
      </c>
      <c r="G27" s="93">
        <f t="shared" ref="G27" si="1">+F27*(100-$G$23)/100</f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</row>
    <row r="28" spans="1:11" ht="12.75" customHeight="1">
      <c r="A28" s="7" t="str">
        <f>+Faworyt!A29</f>
        <v>horný vozík</v>
      </c>
      <c r="B28" s="72">
        <v>228023</v>
      </c>
      <c r="C28" s="38" t="str">
        <f>+VLOOKUP(B28,cennik!$A:$G,2,FALSE)</f>
        <v>SEVROLL Focus horný vozík 18mm - 2ks</v>
      </c>
      <c r="D28" s="17">
        <f>IF((D41+D42)&gt;D4,0,D4-(D41+D42))</f>
        <v>3</v>
      </c>
      <c r="E28" s="219">
        <f>+VLOOKUP(B28,cennik!$A:$G,3,FALSE)</f>
        <v>4.0494700000000003</v>
      </c>
      <c r="F28" s="92">
        <f>+E28*D28</f>
        <v>12.148410000000002</v>
      </c>
      <c r="G28" s="93">
        <f>+F28*(100-$G$23)/100</f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</row>
    <row r="29" spans="1:11" ht="12.75" customHeight="1">
      <c r="A29" s="7" t="str">
        <f>+Faworyt!A30</f>
        <v>spodný vozík</v>
      </c>
      <c r="B29" s="16">
        <f>IF(F4=M63,362316,229440)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>+E29*D29</f>
        <v>13.666979999999999</v>
      </c>
      <c r="G29" s="93">
        <f>+F29*(100-$G$23)/100</f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</row>
    <row r="30" spans="1:11" ht="12.75" customHeight="1">
      <c r="A30" s="7" t="str">
        <f>texty!A89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92">
        <f>+E30*D30</f>
        <v>0</v>
      </c>
      <c r="G30" s="93">
        <f>+F30*(100-$G$23)/100</f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</row>
    <row r="31" spans="1:11" ht="12.75" customHeight="1">
      <c r="A31" s="7" t="str">
        <f>+Faworyt!A32</f>
        <v>úchytková lišta</v>
      </c>
      <c r="B31" s="16">
        <f>+VLOOKUP(O7,data!$C$584:$D$585,2,0)</f>
        <v>135136</v>
      </c>
      <c r="C31" s="38" t="str">
        <f>+VLOOKUP(B31,cennik!$A:$G,2,FALSE)</f>
        <v>SEVROLL-FACTOR 18 II-UCH.LIŠTA STR. 2,7m</v>
      </c>
      <c r="D31" s="17">
        <f>IF(B9&lt;=1347,D4*2/2,D4*2)</f>
        <v>3</v>
      </c>
      <c r="E31" s="219">
        <f>+VLOOKUP(B31,cennik!$A:$G,3,FALSE)</f>
        <v>10.67807</v>
      </c>
      <c r="F31" s="92">
        <f>+E31*D31</f>
        <v>32.034210000000002</v>
      </c>
      <c r="G31" s="93">
        <f>+F31*(100-$G$23)/100</f>
        <v>32.034210000000002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</row>
    <row r="32" spans="1:11" ht="12.75" customHeight="1">
      <c r="A32" s="7"/>
      <c r="B32" s="16"/>
      <c r="C32" s="25"/>
      <c r="D32" s="17"/>
      <c r="E32" s="92"/>
      <c r="F32" s="92"/>
      <c r="G32" s="93"/>
      <c r="H32" s="6"/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</row>
    <row r="33" spans="1:11" ht="12.75" customHeight="1">
      <c r="A33" s="132" t="str">
        <f>+Faworyt!A34</f>
        <v>Voliteľné príslušenstvo:</v>
      </c>
      <c r="B33" s="16"/>
      <c r="C33" s="25"/>
      <c r="D33" s="492" t="str">
        <f>+Faworyt!D34</f>
        <v>zadajte počet:</v>
      </c>
      <c r="E33" s="92"/>
      <c r="F33" s="92"/>
      <c r="G33" s="93"/>
      <c r="H33" s="6"/>
      <c r="I33" s="483" t="str">
        <f>IFERROR(IF((VLOOKUP(B33,cennik!A:L,12,0))="O",texty!$A$250,""),"")</f>
        <v/>
      </c>
      <c r="K33" s="196"/>
    </row>
    <row r="34" spans="1:11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196"/>
    </row>
    <row r="35" spans="1:11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6" si="2">+E35*D35</f>
        <v>0</v>
      </c>
      <c r="G35" s="105">
        <f t="shared" ref="G35:G56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196"/>
    </row>
    <row r="36" spans="1:11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196"/>
    </row>
    <row r="37" spans="1:11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196"/>
    </row>
    <row r="38" spans="1:11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196"/>
    </row>
    <row r="39" spans="1:11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196"/>
    </row>
    <row r="40" spans="1:11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196"/>
    </row>
    <row r="41" spans="1:11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196"/>
    </row>
    <row r="42" spans="1:11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196"/>
    </row>
    <row r="43" spans="1:11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196"/>
    </row>
    <row r="44" spans="1:11" ht="12.75" customHeight="1">
      <c r="A44" s="146" t="str">
        <f>texty!$A$114</f>
        <v>spojovací profil H18-3metre</v>
      </c>
      <c r="B44" s="16">
        <f>+VLOOKUP($O$7,data!$C$463:$D$472,2,0)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196"/>
    </row>
    <row r="45" spans="1:11" ht="12.75" customHeight="1">
      <c r="A45" s="146" t="str">
        <f>texty!$A$115</f>
        <v>spojovací T profil - 3metre /s drážkou/</v>
      </c>
      <c r="B45" s="16">
        <f>+VLOOKUP($O$7,data!$C$473:$D$482,2,0)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196"/>
    </row>
    <row r="46" spans="1:11" ht="12.75" customHeight="1">
      <c r="A46" s="146" t="str">
        <f>texty!$A$116</f>
        <v>spojovací T profil - 3metre /s lemom/</v>
      </c>
      <c r="B46" s="16">
        <f>+VLOOKUP($O$7,data!$C$483:$D$492,2,0)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196"/>
    </row>
    <row r="47" spans="1:11" ht="12.75" customHeight="1">
      <c r="A47" s="146" t="str">
        <f>texty!$A$117</f>
        <v>"U" profil na DTD 18mm - 3 metre /hladký/</v>
      </c>
      <c r="B47" s="6">
        <f>+VLOOKUP($O$7,data!$C$493:$D$502,2,0)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196"/>
    </row>
    <row r="48" spans="1:11" ht="12.75" customHeight="1">
      <c r="A48" s="146" t="str">
        <f>texty!$A$118</f>
        <v>"U" profil na DTD 18mm - 3 metre /lem/</v>
      </c>
      <c r="B48" s="16">
        <f>+VLOOKUP($O$7,data!$C$502:$D$512,2,0)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196"/>
    </row>
    <row r="49" spans="1:14" ht="12.75" customHeight="1">
      <c r="A49" s="146" t="str">
        <f>texty!$A$119</f>
        <v>uholník mini 11x17mm - 1,7m</v>
      </c>
      <c r="B49" s="6">
        <f>+VLOOKUP($O$7,data!$C$513:$D$522,2,0)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93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196"/>
    </row>
    <row r="50" spans="1:14" ht="12.75" customHeight="1">
      <c r="A50" s="146" t="str">
        <f>texty!$A$120</f>
        <v>uholník mini 11x17mm - 2,35m</v>
      </c>
      <c r="B50" s="6">
        <f>+VLOOKUP($O$7,data!$C$523:$D$532,2,0)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93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196"/>
    </row>
    <row r="51" spans="1:14" ht="12.75" customHeight="1">
      <c r="A51" s="146" t="str">
        <f>texty!$A$121</f>
        <v>uholník mini 11x17mm - 3m</v>
      </c>
      <c r="B51" s="15">
        <f>+VLOOKUP($O$7,data!$C$533:$D$542,2,0)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93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196"/>
    </row>
    <row r="52" spans="1:14" ht="12.75" customHeight="1">
      <c r="A52" s="146" t="str">
        <f>texty!$A$122</f>
        <v>uholník K2 19x18mm - 1,7m</v>
      </c>
      <c r="B52" s="24">
        <f>+VLOOKUP($O$7,data!$C$543:$D$552,2,0)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93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196"/>
    </row>
    <row r="53" spans="1:14" ht="12.75" customHeight="1">
      <c r="A53" s="146" t="str">
        <f>texty!$A$123</f>
        <v>uholník K2 19x18mm - 2,35m</v>
      </c>
      <c r="B53" s="16">
        <f>+VLOOKUP($O$7,data!$C$553:$D$562,2,0)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196"/>
    </row>
    <row r="54" spans="1:14" ht="12.75" customHeight="1">
      <c r="A54" s="146" t="str">
        <f>texty!$A$124</f>
        <v>uholník K2 19x18mm - 3,00m</v>
      </c>
      <c r="B54" s="16">
        <f>+VLOOKUP($O$7,data!$C$563:$D$572,2,0)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196"/>
    </row>
    <row r="55" spans="1:14" ht="12.75" customHeight="1">
      <c r="A55" s="436" t="str">
        <f>texty!$A$240</f>
        <v>zámok posuvných dverí</v>
      </c>
      <c r="B55" s="24">
        <v>216363</v>
      </c>
      <c r="C55" s="38" t="str">
        <f>+VLOOKUP(B55,cennik!$A:$G,2,FALSE)</f>
        <v>SEVROLL zámok na posuvné dvere 18 mm</v>
      </c>
      <c r="D55" s="29"/>
      <c r="E55" s="219">
        <f>+VLOOKUP(B55,cennik!$A:$G,3,FALSE)</f>
        <v>17.186150000000001</v>
      </c>
      <c r="F55" s="106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196"/>
    </row>
    <row r="56" spans="1:14" ht="12.75" customHeight="1">
      <c r="A56" s="7" t="str">
        <f>texty!$A$112</f>
        <v>protiprachový kartáč samolepiaci</v>
      </c>
      <c r="B56" s="24">
        <v>308639</v>
      </c>
      <c r="C56" s="25" t="str">
        <f>+VLOOKUP(B56,cennik!$A:$G,2,FALSE)</f>
        <v>SEVROLL protiprachový kartáč samolep. 6,7x13mm</v>
      </c>
      <c r="D56" s="29"/>
      <c r="E56" s="219">
        <f>+VLOOKUP(B56,cennik!$A:$G,3,FALSE)</f>
        <v>0.28210000000000002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196"/>
    </row>
    <row r="57" spans="1:14" ht="12.75" customHeight="1">
      <c r="A57" s="7"/>
      <c r="B57" s="24"/>
      <c r="C57" s="25"/>
      <c r="D57" s="219"/>
      <c r="E57" s="219"/>
      <c r="F57" s="106"/>
      <c r="G57" s="105"/>
      <c r="H57" s="6"/>
      <c r="I57" s="186"/>
      <c r="J57" s="196"/>
      <c r="K57" s="196"/>
    </row>
    <row r="58" spans="1:14" ht="16">
      <c r="A58" s="285" t="str">
        <f>texty!$A$190</f>
        <v>Ďalšie príslušenstvo</v>
      </c>
      <c r="B58" s="286"/>
      <c r="C58" s="286"/>
      <c r="D58" s="286"/>
      <c r="E58" s="286"/>
      <c r="F58" s="286"/>
      <c r="G58" s="286"/>
      <c r="H58" s="286"/>
      <c r="I58" s="286"/>
      <c r="J58" s="286"/>
      <c r="K58" s="6"/>
    </row>
    <row r="59" spans="1:14" ht="12.75" customHeight="1">
      <c r="A59" s="285" t="str">
        <f>texty!$A$244</f>
        <v>Technický nákres tohoto systému</v>
      </c>
      <c r="C59" s="40"/>
      <c r="D59" s="80" t="str">
        <f>+Faworyt!D61</f>
        <v>CELKOM  (bez DPH)</v>
      </c>
      <c r="E59" s="100"/>
      <c r="F59" s="114">
        <f>SUM(F25:F56)</f>
        <v>85.834350000000001</v>
      </c>
      <c r="G59" s="114">
        <f>SUM(G25:G56)</f>
        <v>85.834350000000001</v>
      </c>
      <c r="H59" s="6" t="str">
        <f>cennik!$B$2</f>
        <v>EUR</v>
      </c>
      <c r="J59" s="186"/>
      <c r="K59" s="6"/>
    </row>
    <row r="60" spans="1:14" ht="12.75" customHeight="1">
      <c r="A60" s="76" t="str">
        <f>System10!$A$67</f>
        <v>Vaša poznámka:</v>
      </c>
      <c r="B60" s="670"/>
      <c r="C60" s="671"/>
      <c r="D60" s="671"/>
      <c r="E60" s="671"/>
      <c r="F60" s="671"/>
      <c r="G60" s="672"/>
      <c r="H60" s="6"/>
      <c r="K60" s="6"/>
    </row>
    <row r="61" spans="1:14" ht="12.75" customHeight="1">
      <c r="A61" s="668">
        <f>profil!$U$15</f>
        <v>0</v>
      </c>
      <c r="B61" s="658"/>
      <c r="C61" s="658"/>
      <c r="D61" s="658"/>
      <c r="E61" s="658"/>
      <c r="F61" s="658"/>
      <c r="G61" s="658"/>
      <c r="H61" s="658"/>
      <c r="K61" s="6"/>
    </row>
    <row r="62" spans="1:14" ht="12.75" customHeight="1">
      <c r="A62" s="659" t="str">
        <f>IF(N62=1,texty!$A$215,IF(J62&gt;0,texty!$A$214,""))</f>
        <v/>
      </c>
      <c r="B62" s="659"/>
      <c r="C62" s="659"/>
      <c r="D62" s="659"/>
      <c r="E62" s="659"/>
      <c r="F62" s="659"/>
      <c r="G62" s="659"/>
      <c r="H62" s="659"/>
      <c r="J62" s="5">
        <f>SUM(J25:J56)</f>
        <v>0</v>
      </c>
      <c r="N62" s="5">
        <f>IF(ISERROR(J62),1,0)</f>
        <v>0</v>
      </c>
    </row>
    <row r="63" spans="1:14" ht="12.75" customHeight="1">
      <c r="L63" s="5" t="str">
        <f>texty!A128</f>
        <v xml:space="preserve">strieborná </v>
      </c>
      <c r="M63" s="21" t="s">
        <v>2884</v>
      </c>
    </row>
    <row r="64" spans="1:14" ht="12.75" customHeight="1">
      <c r="H64" s="136"/>
      <c r="L64" s="5" t="str">
        <f>texty!A130</f>
        <v>oliva</v>
      </c>
      <c r="M64" s="21" t="s">
        <v>45</v>
      </c>
    </row>
    <row r="65" ht="12.75" customHeight="1"/>
    <row r="66" ht="12.75" customHeight="1"/>
  </sheetData>
  <sheetProtection algorithmName="SHA-512" hashValue="RzMBhlk5lr7AQmVR+lexXUcsun70QPaHoOqO0R7///2aQ++9dXDb6F8t0aM1mgKpP7UFSFMiaINdeh7hadu1gg==" saltValue="nF8Fpj9DIyTgYgMQuOf6F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1:B12"/>
  </mergeCells>
  <phoneticPr fontId="0" type="noConversion"/>
  <conditionalFormatting sqref="D6">
    <cfRule type="expression" dxfId="105" priority="7">
      <formula>$D$4=4</formula>
    </cfRule>
    <cfRule type="expression" dxfId="104" priority="8">
      <formula>$D$4&lt;&gt;4</formula>
    </cfRule>
  </conditionalFormatting>
  <conditionalFormatting sqref="G4">
    <cfRule type="expression" dxfId="103" priority="6">
      <formula>$D$4=4</formula>
    </cfRule>
  </conditionalFormatting>
  <conditionalFormatting sqref="I17:I18">
    <cfRule type="expression" dxfId="102" priority="4">
      <formula>$F$4=$M$64</formula>
    </cfRule>
  </conditionalFormatting>
  <conditionalFormatting sqref="I19:I20">
    <cfRule type="expression" dxfId="101" priority="5">
      <formula>$F$4=$M$63</formula>
    </cfRule>
  </conditionalFormatting>
  <conditionalFormatting sqref="A11">
    <cfRule type="expression" dxfId="100" priority="3">
      <formula>SUM($D$39:$D$40)&gt;0</formula>
    </cfRule>
  </conditionalFormatting>
  <dataValidations count="7">
    <dataValidation type="list" allowBlank="1" showInputMessage="1" showErrorMessage="1" sqref="E5:F6" xr:uid="{00000000-0002-0000-1A00-000000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552847-80D4-4F65-A676-7526DCA94610}">
            <xm:f>$I25=texty!$A$250</xm:f>
            <x14:dxf>
              <font>
                <color rgb="FFFF0000"/>
              </font>
            </x14:dxf>
          </x14:cfRule>
          <xm:sqref>I25:I56</xm:sqref>
        </x14:conditionalFormatting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A25:H56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8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46.5" style="5" bestFit="1" customWidth="1"/>
    <col min="4" max="4" width="14.1640625" style="5" customWidth="1"/>
    <col min="5" max="7" width="14.6640625" style="5" customWidth="1"/>
    <col min="8" max="8" width="4.6640625" style="5" customWidth="1"/>
    <col min="9" max="9" width="24.6640625" style="6" customWidth="1"/>
    <col min="10" max="10" width="11.33203125" style="6" hidden="1" customWidth="1"/>
    <col min="11" max="11" width="19.16406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-8</v>
      </c>
    </row>
    <row r="2" spans="1:16" ht="18.75" customHeight="1">
      <c r="A2" s="538" t="s">
        <v>1440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",5,".",68)</f>
        <v>katalóg kovania 2018 str. 5.68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68">
        <f>+B4-42</f>
        <v>-42</v>
      </c>
      <c r="C7" s="69">
        <f>+((C4-3+29*(D4-1))/D4+IF(AND(D4=4,D6=2),M1,0))</f>
        <v>18.333333333333332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68">
        <f>+B7-2</f>
        <v>-44</v>
      </c>
      <c r="C8" s="511">
        <f>+C7-3</f>
        <v>15.333333333333332</v>
      </c>
      <c r="D8" s="8"/>
      <c r="E8" s="8"/>
      <c r="F8" s="8"/>
      <c r="G8" s="5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texty!$A$51</f>
        <v>Dĺžka úchytkového profilu (+2 mm)</v>
      </c>
      <c r="B9" s="510">
        <f>B8+2</f>
        <v>-42</v>
      </c>
      <c r="C9" s="503"/>
      <c r="D9" s="8"/>
      <c r="E9" s="8"/>
      <c r="F9" s="8"/>
      <c r="G9" s="51"/>
      <c r="H9" s="6"/>
      <c r="L9" s="37"/>
      <c r="M9" s="36"/>
    </row>
    <row r="10" spans="1:16" ht="12.75" customHeight="1">
      <c r="A10" s="173" t="str">
        <f>texty!$A$64</f>
        <v>Pri tejto zostave nie je možné použiť kombináciu so sklom / zrkadlom</v>
      </c>
      <c r="B10" s="71"/>
      <c r="C10" s="67"/>
      <c r="D10" s="8"/>
      <c r="E10" s="8"/>
      <c r="F10" s="8"/>
      <c r="G10" s="49"/>
      <c r="H10" s="6"/>
      <c r="O10" s="17"/>
      <c r="P10" s="21"/>
    </row>
    <row r="11" spans="1:16" ht="28">
      <c r="A11" s="644" t="str">
        <f>IF(SUM(D39:D40)&gt;0,texty!A246,"")</f>
        <v/>
      </c>
      <c r="B11" s="644"/>
      <c r="C11" s="506" t="str">
        <f>texty!A78</f>
        <v>dodatočné odpočty výšky vypočítaných výplní pri použití deliacich profilov výplne:</v>
      </c>
      <c r="D11" s="8"/>
      <c r="E11" s="8"/>
      <c r="F11" s="8"/>
      <c r="G11" s="3"/>
      <c r="H11" s="6"/>
      <c r="L11" s="36"/>
      <c r="O11" s="23"/>
      <c r="P11" s="21"/>
    </row>
    <row r="12" spans="1:16" ht="13">
      <c r="A12" s="644"/>
      <c r="B12" s="644"/>
      <c r="C12" s="506"/>
      <c r="D12" s="8"/>
      <c r="E12" s="8"/>
      <c r="F12" s="8"/>
      <c r="G12" s="3"/>
      <c r="H12" s="6"/>
      <c r="L12" s="36"/>
      <c r="O12" s="23"/>
      <c r="P12" s="21"/>
    </row>
    <row r="13" spans="1:16" ht="12.75" customHeight="1">
      <c r="B13" s="70"/>
      <c r="C13" s="67"/>
      <c r="D13" s="8"/>
      <c r="H13" s="6"/>
      <c r="L13" s="6"/>
    </row>
    <row r="14" spans="1:16" ht="12.75" customHeight="1">
      <c r="A14" s="193"/>
      <c r="B14" s="65"/>
      <c r="C14" s="169"/>
      <c r="D14" s="8"/>
      <c r="E14" s="8"/>
      <c r="F14" s="8"/>
      <c r="G14" s="6"/>
      <c r="H14" s="6"/>
      <c r="L14" s="6"/>
    </row>
    <row r="15" spans="1:16" ht="12.75" customHeight="1">
      <c r="A15" s="10"/>
      <c r="B15" s="8"/>
      <c r="C15" s="12"/>
      <c r="D15" s="8"/>
      <c r="E15" s="8"/>
      <c r="F15" s="8"/>
      <c r="G15" s="6"/>
      <c r="H15" s="6"/>
      <c r="L15" s="6"/>
    </row>
    <row r="16" spans="1:16" ht="12.75" customHeight="1">
      <c r="A16" s="7"/>
      <c r="B16" s="8"/>
      <c r="C16" s="12"/>
      <c r="D16" s="8"/>
      <c r="E16" s="8"/>
      <c r="F16" s="8"/>
      <c r="G16" s="6"/>
      <c r="H16" s="6"/>
      <c r="I16" s="647" t="s">
        <v>2890</v>
      </c>
      <c r="L16" s="6"/>
    </row>
    <row r="17" spans="1:12" ht="12.75" customHeight="1">
      <c r="A17" s="7"/>
      <c r="B17" s="8"/>
      <c r="C17" s="12"/>
      <c r="D17" s="8"/>
      <c r="E17" s="8"/>
      <c r="F17" s="8"/>
      <c r="G17" s="6"/>
      <c r="H17" s="6"/>
      <c r="I17" s="647"/>
      <c r="L17" s="6"/>
    </row>
    <row r="18" spans="1:12" ht="14.25" customHeight="1">
      <c r="A18" s="7"/>
      <c r="B18" s="8"/>
      <c r="C18" s="27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A19" s="7"/>
      <c r="B19" s="8"/>
      <c r="C19" s="27"/>
      <c r="D19" s="8"/>
      <c r="E19" s="8"/>
      <c r="F19" s="8"/>
      <c r="G19" s="6"/>
      <c r="H19" s="6"/>
      <c r="I19" s="648"/>
      <c r="L19" s="6"/>
    </row>
    <row r="20" spans="1:12" ht="14.25" customHeight="1">
      <c r="A20" s="523" t="s">
        <v>2962</v>
      </c>
      <c r="B20" s="8"/>
      <c r="C20" s="27"/>
      <c r="D20" s="8"/>
      <c r="E20" s="8"/>
      <c r="F20" s="8"/>
      <c r="G20" s="6"/>
      <c r="H20" s="6"/>
      <c r="L20" s="6"/>
    </row>
    <row r="21" spans="1:12" ht="16.5" customHeight="1">
      <c r="A21" s="7"/>
      <c r="B21" s="8"/>
      <c r="C21" s="8"/>
      <c r="E21" s="8"/>
      <c r="F21" s="8"/>
      <c r="G21" s="6"/>
      <c r="H21" s="6"/>
      <c r="L21" s="6"/>
    </row>
    <row r="22" spans="1:12" ht="16.5" customHeight="1">
      <c r="A22" s="7"/>
      <c r="B22" s="8"/>
      <c r="C22" s="8"/>
      <c r="D22" s="13"/>
      <c r="E22" s="8"/>
      <c r="F22" s="6"/>
      <c r="G22" s="135" t="str">
        <f>+Faworyt!G23</f>
        <v>partnerská zľava:</v>
      </c>
      <c r="H22" s="6"/>
      <c r="L22" s="6"/>
    </row>
    <row r="23" spans="1:12" ht="12.75" customHeight="1">
      <c r="A23" s="132" t="str">
        <f>+Faworyt!A24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L23" s="6"/>
    </row>
    <row r="24" spans="1:12" s="83" customFormat="1" ht="12.75" customHeight="1">
      <c r="A24" s="81"/>
      <c r="B24" s="82" t="str">
        <f>+Faworyt!B25</f>
        <v>kód</v>
      </c>
      <c r="C24" s="82" t="str">
        <f>+Faworyt!C25</f>
        <v>názov</v>
      </c>
      <c r="D24" s="82" t="str">
        <f>+Faworyt!D25</f>
        <v>ks</v>
      </c>
      <c r="E24" s="82" t="str">
        <f>+Faworyt!E25</f>
        <v>cena/ks</v>
      </c>
      <c r="F24" s="18" t="str">
        <f>+Faworyt!F25</f>
        <v>cena celkom</v>
      </c>
      <c r="G24" s="18" t="str">
        <f>+Faworyt!G25</f>
        <v>celkom netto:</v>
      </c>
      <c r="H24" s="18"/>
      <c r="I24" s="18" t="str">
        <f>texty!A29</f>
        <v>Poznámka:</v>
      </c>
      <c r="K24" s="18"/>
      <c r="L24" s="18"/>
    </row>
    <row r="25" spans="1:12" ht="12.75" customHeight="1">
      <c r="A25" s="7" t="str">
        <f>+Faworyt!A26</f>
        <v>Horný profil:</v>
      </c>
      <c r="B25" s="8">
        <f>+VLOOKUP(O8,data!$C$176:$D$190,2,0)</f>
        <v>89106</v>
      </c>
      <c r="C25" s="38" t="str">
        <f>+VLOOKUP(B25,cennik!$A:$G,2,FALSE)</f>
        <v>SEVROLL Gemini horné vedenie 1,7m strieborná</v>
      </c>
      <c r="D25" s="8">
        <v>1</v>
      </c>
      <c r="E25" s="219">
        <f>+VLOOKUP(B25,cennik!$A:$G,3,FALSE)</f>
        <v>16.077369999999998</v>
      </c>
      <c r="F25" s="92">
        <f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K25" s="196" t="str">
        <f>IF(D25&gt;0,IF(VLOOKUP(B25,cennik!A:L,12,FALSE)="O",1,""),"")</f>
        <v/>
      </c>
      <c r="L25" s="6"/>
    </row>
    <row r="26" spans="1:12" ht="12.75" customHeight="1">
      <c r="A26" s="7" t="str">
        <f>+Faworyt!A27</f>
        <v>spodný profil:</v>
      </c>
      <c r="B26" s="8">
        <f>+VLOOKUP(O6,data!$C$4:$D$73,2,0)</f>
        <v>84385</v>
      </c>
      <c r="C26" s="38" t="str">
        <f>+VLOOKUP(B26,cennik!$A:$G,2,FALSE)</f>
        <v>SEVROLL Elegant spodné vedenie 1,7m striebor</v>
      </c>
      <c r="D26" s="8">
        <v>1</v>
      </c>
      <c r="E26" s="219">
        <f>+VLOOKUP(B26,cennik!$A:$G,3,FALSE)</f>
        <v>9.0389999999999997</v>
      </c>
      <c r="F26" s="92">
        <f>+E26*D26</f>
        <v>9.0389999999999997</v>
      </c>
      <c r="G26" s="93">
        <f t="shared" ref="G26:G29" si="0">+F26*(100-$G$23)/100</f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K26" s="196" t="str">
        <f>IF(D26&gt;0,IF(VLOOKUP(B26,cennik!A:L,12,FALSE)="O",1,""),"")</f>
        <v/>
      </c>
      <c r="L26" s="6"/>
    </row>
    <row r="27" spans="1:12" ht="12.75" customHeight="1">
      <c r="A27" s="73" t="str">
        <f>+Faworyt!A28</f>
        <v>krycí profil (maska):</v>
      </c>
      <c r="B27" s="8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8">
        <v>1</v>
      </c>
      <c r="E27" s="92">
        <f>IF(B27=data!$D$63,0,+VLOOKUP(B27,cennik!$A$3:$G$907,3,FALSE))</f>
        <v>2.8683800000000002</v>
      </c>
      <c r="F27" s="92">
        <f t="shared" ref="F27" si="1">+E27*D27</f>
        <v>2.8683800000000002</v>
      </c>
      <c r="G27" s="93">
        <f t="shared" si="0"/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K27" s="196" t="str">
        <f>IF(D27&gt;0,IF(VLOOKUP(B27,cennik!A:L,12,FALSE)="O",1,""),"")</f>
        <v/>
      </c>
      <c r="L27" s="6"/>
    </row>
    <row r="28" spans="1:12" ht="12.75" customHeight="1">
      <c r="A28" s="7" t="str">
        <f>+Faworyt!A29</f>
        <v>horný vozík</v>
      </c>
      <c r="B28" s="72">
        <v>228023</v>
      </c>
      <c r="C28" s="38" t="str">
        <f>+VLOOKUP(B28,cennik!$A:$G,2,FALSE)</f>
        <v>SEVROLL Focus horný vozík 18mm - 2ks</v>
      </c>
      <c r="D28" s="17">
        <f>IF((D41+D42)&gt;D4,0,D4-(D41+D42))</f>
        <v>3</v>
      </c>
      <c r="E28" s="219">
        <f>+VLOOKUP(B28,cennik!$A:$G,3,FALSE)</f>
        <v>4.0494700000000003</v>
      </c>
      <c r="F28" s="92">
        <f>+E28*D28</f>
        <v>12.148410000000002</v>
      </c>
      <c r="G28" s="93">
        <f t="shared" si="0"/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IF(F4=M63,362316,229440)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>+E29*D29</f>
        <v>13.666979999999999</v>
      </c>
      <c r="G29" s="93">
        <f t="shared" si="0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/>
    </row>
    <row r="30" spans="1:12" ht="12.75" customHeight="1">
      <c r="A30" s="7" t="str">
        <f>+Faworyt!A31</f>
        <v>dorazový kartáč</v>
      </c>
      <c r="B30" s="16">
        <v>89131</v>
      </c>
      <c r="C30" s="38" t="str">
        <f>+VLOOKUP(B30,cennik!$A:$G,2,FALSE)</f>
        <v>SEVROLL dorazový kartáč samolepiaci 6,7x4mm</v>
      </c>
      <c r="D30" s="17">
        <f>CEILING((B4*D4*2/1000),1)</f>
        <v>0</v>
      </c>
      <c r="E30" s="219">
        <f>+VLOOKUP(B30,cennik!$A:$G,3,FALSE)</f>
        <v>0.16275999999999999</v>
      </c>
      <c r="F30" s="92">
        <f>+E30*D30</f>
        <v>0</v>
      </c>
      <c r="G30" s="93">
        <f>+F30*(100-$G$23)/100</f>
        <v>0</v>
      </c>
      <c r="H30" s="6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+VLOOKUP(P7,data!$C$580:$D$581,2,0)</f>
        <v>213977</v>
      </c>
      <c r="C31" s="38" t="str">
        <f>+VLOOKUP(B31,cennik!$A:$G,2,FALSE)</f>
        <v>SEVROLL Beta 18 úch.lišta 2,70m strieborná</v>
      </c>
      <c r="D31" s="17">
        <f>IF(B9&lt;=1347,D4*2/2,D4*2)</f>
        <v>3</v>
      </c>
      <c r="E31" s="219">
        <f>+VLOOKUP(B31,cennik!$A:$G,3,FALSE)</f>
        <v>7.6650700000000001</v>
      </c>
      <c r="F31" s="92">
        <f>+E31*D31</f>
        <v>22.99521</v>
      </c>
      <c r="G31" s="93">
        <f>+F31*(100-$G$23)/100</f>
        <v>22.99521</v>
      </c>
      <c r="H31" s="6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92"/>
      <c r="G32" s="93"/>
      <c r="H32" s="6"/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</row>
    <row r="33" spans="1:12" ht="12.75" customHeight="1">
      <c r="A33" s="132" t="str">
        <f>+Faworyt!A34</f>
        <v>Voliteľné príslušenstvo:</v>
      </c>
      <c r="B33" s="16"/>
      <c r="C33" s="25"/>
      <c r="D33" s="492" t="str">
        <f>+Faworyt!D34</f>
        <v>zadajte počet:</v>
      </c>
      <c r="E33" s="92"/>
      <c r="F33" s="92"/>
      <c r="G33" s="93"/>
      <c r="H33" s="6"/>
      <c r="I33" s="483" t="str">
        <f>IFERROR(IF((VLOOKUP(B33,cennik!A:L,12,0))="O",texty!$A$250,""),"")</f>
        <v/>
      </c>
      <c r="K33" s="196"/>
      <c r="L33" s="6"/>
    </row>
    <row r="34" spans="1:1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6" si="2">+E35*D35</f>
        <v>0</v>
      </c>
      <c r="G35" s="105">
        <f t="shared" ref="G35:G56" si="3">+F35*(100-$G$23)/100</f>
        <v>0</v>
      </c>
      <c r="H35" s="6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6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3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6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3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3"/>
        <v>0</v>
      </c>
      <c r="H40" s="24" t="str">
        <f>cennik!$B$2</f>
        <v>EUR</v>
      </c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3"/>
        <v>0</v>
      </c>
      <c r="H41" s="6" t="str">
        <f>cennik!$B$2</f>
        <v>EUR</v>
      </c>
      <c r="I41" s="483" t="str">
        <f>IFERROR(IF((VLOOKUP(B41,cennik!A:L,12,0))="O",texty!$A$250,""),"")</f>
        <v/>
      </c>
      <c r="K41" s="196" t="str">
        <f>IF(D41&gt;0,IF(VLOOKUP(B41,cennik!A:L,12,FALSE)="O",1,""),"")</f>
        <v/>
      </c>
      <c r="L41" s="3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K42" s="196" t="str">
        <f>IF(D42&gt;0,IF(VLOOKUP(B42,cennik!A:L,12,FALSE)="O",1,""),"")</f>
        <v/>
      </c>
      <c r="L42" s="3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2"/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3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2"/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3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2"/>
        <v>0</v>
      </c>
      <c r="G45" s="105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3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2"/>
        <v>0</v>
      </c>
      <c r="G46" s="105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  <c r="L46" s="6"/>
    </row>
    <row r="47" spans="1:1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2"/>
        <v>0</v>
      </c>
      <c r="G47" s="105">
        <f t="shared" si="3"/>
        <v>0</v>
      </c>
      <c r="H47" s="6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  <c r="L47" s="6"/>
    </row>
    <row r="48" spans="1:1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  <c r="L48" s="6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  <c r="L49" s="6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3"/>
        <v>0</v>
      </c>
      <c r="H50" s="6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  <c r="L50" s="6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3"/>
        <v>0</v>
      </c>
      <c r="H51" s="6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  <c r="L51" s="6"/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3"/>
        <v>0</v>
      </c>
      <c r="H52" s="6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2"/>
        <v>0</v>
      </c>
      <c r="G53" s="105">
        <f t="shared" si="3"/>
        <v>0</v>
      </c>
      <c r="H53" s="6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2"/>
        <v>0</v>
      </c>
      <c r="G54" s="105">
        <f t="shared" si="3"/>
        <v>0</v>
      </c>
      <c r="H54" s="6" t="str">
        <f>cennik!$B$2</f>
        <v>EUR</v>
      </c>
      <c r="I54" s="483" t="str">
        <f>IFERROR(IF((VLOOKUP(B54,cennik!A:L,12,0))="O",texty!$A$250,""),"")</f>
        <v/>
      </c>
      <c r="K54" s="196" t="str">
        <f>IF(D54&gt;0,IF(VLOOKUP(B54,cennik!A:L,12,FALSE)="O",1,""),"")</f>
        <v/>
      </c>
      <c r="L54" s="6"/>
    </row>
    <row r="55" spans="1:14" ht="12.75" customHeight="1">
      <c r="A55" s="436" t="str">
        <f>texty!$A$240</f>
        <v>zámok posuvných dverí</v>
      </c>
      <c r="B55" s="24">
        <v>216363</v>
      </c>
      <c r="C55" s="38" t="str">
        <f>+VLOOKUP(B55,cennik!$A:$G,2,FALSE)</f>
        <v>SEVROLL zámok na posuvné dvere 18 mm</v>
      </c>
      <c r="D55" s="29"/>
      <c r="E55" s="219">
        <f>+VLOOKUP(B55,cennik!$A:$G,3,FALSE)</f>
        <v>17.186150000000001</v>
      </c>
      <c r="F55" s="106">
        <f t="shared" si="2"/>
        <v>0</v>
      </c>
      <c r="G55" s="105">
        <f t="shared" si="3"/>
        <v>0</v>
      </c>
      <c r="H55" s="6" t="str">
        <f>cennik!$B$2</f>
        <v>EUR</v>
      </c>
      <c r="I55" s="483" t="str">
        <f>IFERROR(IF((VLOOKUP(B55,cennik!A:L,12,0))="O",texty!$A$250,""),"")</f>
        <v/>
      </c>
      <c r="K55" s="196" t="str">
        <f>IF(D55&gt;0,IF(VLOOKUP(B55,cennik!A:L,12,FALSE)="O",1,""),"")</f>
        <v/>
      </c>
      <c r="L55" s="6"/>
    </row>
    <row r="56" spans="1:14" ht="12.75" customHeight="1">
      <c r="A56" s="7" t="str">
        <f>texty!$A$112</f>
        <v>protiprachový kartáč samolepiaci</v>
      </c>
      <c r="B56" s="24">
        <v>308639</v>
      </c>
      <c r="C56" s="25" t="str">
        <f>+VLOOKUP(B56,cennik!$A:$G,2,FALSE)</f>
        <v>SEVROLL protiprachový kartáč samolep. 6,7x13mm</v>
      </c>
      <c r="D56" s="29"/>
      <c r="E56" s="219">
        <f>+VLOOKUP(B56,cennik!$A:$G,3,FALSE)</f>
        <v>0.28210000000000002</v>
      </c>
      <c r="F56" s="106">
        <f t="shared" si="2"/>
        <v>0</v>
      </c>
      <c r="G56" s="105">
        <f t="shared" si="3"/>
        <v>0</v>
      </c>
      <c r="H56" s="6" t="str">
        <f>cennik!$B$2</f>
        <v>EUR</v>
      </c>
      <c r="I56" s="483" t="str">
        <f>IFERROR(IF((VLOOKUP(B56,cennik!A:L,12,0))="O",texty!$A$250,""),"")</f>
        <v/>
      </c>
      <c r="K56" s="196" t="str">
        <f>IF(D56&gt;0,IF(VLOOKUP(B56,cennik!A:L,12,FALSE)="O",1,""),"")</f>
        <v/>
      </c>
      <c r="L56" s="6"/>
    </row>
    <row r="57" spans="1:14" ht="12.75" customHeight="1">
      <c r="A57" s="7"/>
      <c r="B57" s="24"/>
      <c r="C57" s="25"/>
      <c r="D57" s="219"/>
      <c r="E57" s="219"/>
      <c r="F57" s="106"/>
      <c r="G57" s="105"/>
      <c r="H57" s="6"/>
      <c r="I57" s="186"/>
      <c r="K57" s="196"/>
      <c r="L57" s="6"/>
    </row>
    <row r="58" spans="1:14" ht="16">
      <c r="A58" s="285" t="str">
        <f>texty!$A$190</f>
        <v>Ďalšie príslušenstvo</v>
      </c>
      <c r="B58" s="286"/>
      <c r="C58" s="286"/>
      <c r="D58" s="286"/>
      <c r="E58" s="286"/>
      <c r="F58" s="286"/>
      <c r="G58" s="286"/>
      <c r="H58" s="286"/>
      <c r="I58" s="286"/>
      <c r="J58" s="286"/>
      <c r="K58" s="135"/>
      <c r="L58" s="6"/>
    </row>
    <row r="59" spans="1:14" ht="12.75" customHeight="1">
      <c r="A59" s="285" t="str">
        <f>texty!$A$244</f>
        <v>Technický nákres tohoto systému</v>
      </c>
      <c r="C59" s="40"/>
      <c r="D59" s="79" t="str">
        <f>+Faworyt!D61</f>
        <v>CELKOM  (bez DPH)</v>
      </c>
      <c r="E59" s="116"/>
      <c r="F59" s="117">
        <f>SUM(F25:F56)</f>
        <v>76.795349999999999</v>
      </c>
      <c r="G59" s="117">
        <f>SUM(G25:G56)</f>
        <v>76.795349999999999</v>
      </c>
      <c r="H59" s="6" t="str">
        <f>cennik!$B$2</f>
        <v>EUR</v>
      </c>
      <c r="J59" s="186"/>
      <c r="K59" s="186"/>
      <c r="L59" s="6"/>
    </row>
    <row r="60" spans="1:14" ht="12.75" customHeight="1">
      <c r="A60" s="76" t="str">
        <f>System10!$A$67</f>
        <v>Vaša poznámka:</v>
      </c>
      <c r="B60" s="670"/>
      <c r="C60" s="671"/>
      <c r="D60" s="671"/>
      <c r="E60" s="671"/>
      <c r="F60" s="671"/>
      <c r="G60" s="672"/>
      <c r="H60" s="6"/>
      <c r="L60" s="6"/>
    </row>
    <row r="61" spans="1:14" ht="12.75" customHeight="1">
      <c r="A61" s="668">
        <f>profil!$U$15</f>
        <v>0</v>
      </c>
      <c r="B61" s="658"/>
      <c r="C61" s="658"/>
      <c r="D61" s="658"/>
      <c r="E61" s="658"/>
      <c r="F61" s="658"/>
      <c r="G61" s="658"/>
      <c r="H61" s="658"/>
      <c r="L61" s="6"/>
    </row>
    <row r="62" spans="1:14" ht="12.75" customHeight="1">
      <c r="A62" s="659" t="str">
        <f>IF(N62=1,texty!$A$215,IF(K62&gt;0,texty!$A$214,""))</f>
        <v/>
      </c>
      <c r="B62" s="659"/>
      <c r="C62" s="659"/>
      <c r="D62" s="659"/>
      <c r="E62" s="659"/>
      <c r="F62" s="659"/>
      <c r="G62" s="659"/>
      <c r="H62" s="659"/>
      <c r="K62" s="6">
        <f>SUM(K25:K54)</f>
        <v>0</v>
      </c>
      <c r="L62" s="6"/>
      <c r="N62" s="5">
        <f>IF(ISERROR(K62),1,0)</f>
        <v>0</v>
      </c>
    </row>
    <row r="63" spans="1:14" ht="12.75" customHeight="1">
      <c r="L63" s="5" t="str">
        <f>texty!A128</f>
        <v xml:space="preserve">strieborná </v>
      </c>
      <c r="M63" s="21" t="s">
        <v>2884</v>
      </c>
    </row>
    <row r="64" spans="1:14" ht="12.75" customHeight="1">
      <c r="L64" s="5" t="str">
        <f>texty!A130</f>
        <v>oliva</v>
      </c>
      <c r="M64" s="21" t="s">
        <v>45</v>
      </c>
    </row>
    <row r="65" ht="12.75" customHeight="1"/>
    <row r="66" ht="12.75" customHeight="1"/>
    <row r="67" ht="12.75" customHeight="1"/>
    <row r="68" ht="12.75" customHeight="1"/>
  </sheetData>
  <sheetProtection algorithmName="SHA-512" hashValue="oHQ0Ml1DYlWhZGKJ9iS1Xi6QXjwZGe70bomGs4xAv5pEQvlzy3Gmwd6pBQSz75uf9418JJNehUDKGBwFBj3XwQ==" saltValue="0+rzCbQHqvHWNi5I1i4vz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2"/>
  </mergeCells>
  <conditionalFormatting sqref="D6">
    <cfRule type="expression" dxfId="97" priority="7">
      <formula>$D$4=4</formula>
    </cfRule>
    <cfRule type="expression" dxfId="96" priority="8">
      <formula>$D$4&lt;&gt;4</formula>
    </cfRule>
  </conditionalFormatting>
  <conditionalFormatting sqref="G4">
    <cfRule type="expression" dxfId="95" priority="6">
      <formula>$D$4=4</formula>
    </cfRule>
  </conditionalFormatting>
  <conditionalFormatting sqref="I16:I17">
    <cfRule type="expression" dxfId="94" priority="4">
      <formula>$F$4=$M$64</formula>
    </cfRule>
  </conditionalFormatting>
  <conditionalFormatting sqref="I18:I19">
    <cfRule type="expression" dxfId="93" priority="5">
      <formula>$F$4=$M$63</formula>
    </cfRule>
  </conditionalFormatting>
  <conditionalFormatting sqref="A11">
    <cfRule type="expression" dxfId="92" priority="3">
      <formula>SUM($D$39:$D$40)&gt;0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:F6" xr:uid="{00000000-0002-0000-1B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8B47921-4BE1-43BF-A31B-73C129055120}">
            <xm:f>$I25=texty!$A$250</xm:f>
            <x14:dxf>
              <font>
                <color rgb="FFFF0000"/>
              </font>
            </x14:dxf>
          </x14:cfRule>
          <xm:sqref>I25:I56</xm:sqref>
        </x14:conditionalFormatting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A25:H56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8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5" style="5" customWidth="1"/>
    <col min="2" max="2" width="15.83203125" style="5" customWidth="1"/>
    <col min="3" max="3" width="45" style="5" bestFit="1" customWidth="1"/>
    <col min="4" max="4" width="14.16406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-8.3000000000000007</v>
      </c>
    </row>
    <row r="2" spans="1:16" ht="18.75" customHeight="1">
      <c r="A2" s="538" t="s">
        <v>2931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",5,".",68)</f>
        <v>katalóg kovania 2018 str. 5.68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68">
        <f>+B4-42</f>
        <v>-42</v>
      </c>
      <c r="C7" s="69">
        <f>+((C4-3+30*(D4-1))/D4+IF(AND(D4=4,D6=2),M1,0))</f>
        <v>19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68">
        <f>+B7-2</f>
        <v>-44</v>
      </c>
      <c r="C8" s="511">
        <f>+C7-4</f>
        <v>15</v>
      </c>
      <c r="D8" s="8"/>
      <c r="E8" s="8"/>
      <c r="F8" s="8"/>
      <c r="G8" s="5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texty!$A$51</f>
        <v>Dĺžka úchytkového profilu (+2 mm)</v>
      </c>
      <c r="B9" s="510">
        <f>B8+2</f>
        <v>-42</v>
      </c>
      <c r="C9" s="503"/>
      <c r="D9" s="8"/>
      <c r="E9" s="8"/>
      <c r="F9" s="8"/>
      <c r="G9" s="51"/>
      <c r="H9" s="6"/>
      <c r="L9" s="37"/>
      <c r="M9" s="36"/>
    </row>
    <row r="10" spans="1:16" ht="28">
      <c r="A10" s="533" t="str">
        <f>texty!$A$64</f>
        <v>Pri tejto zostave nie je možné použiť kombináciu so sklom / zrkadlom</v>
      </c>
      <c r="B10" s="71"/>
      <c r="C10" s="512" t="str">
        <f>texty!A78</f>
        <v>dodatočné odpočty výšky vypočítaných výplní pri použití deliacich profilov výplne:</v>
      </c>
      <c r="D10" s="8"/>
      <c r="E10" s="8"/>
      <c r="F10" s="8"/>
      <c r="G10" s="49"/>
      <c r="H10" s="6"/>
      <c r="O10" s="17"/>
      <c r="P10" s="21"/>
    </row>
    <row r="11" spans="1:16" ht="17.25" customHeight="1">
      <c r="A11" s="644" t="str">
        <f>IF(SUM(D39:D40)&gt;0,texty!A246,"")</f>
        <v/>
      </c>
      <c r="B11" s="644"/>
      <c r="C11" s="512"/>
      <c r="D11" s="8"/>
      <c r="E11" s="8"/>
      <c r="F11" s="8"/>
      <c r="G11" s="49"/>
      <c r="H11" s="6"/>
      <c r="O11" s="17"/>
      <c r="P11" s="21"/>
    </row>
    <row r="12" spans="1:16" ht="26.5" customHeight="1">
      <c r="A12" s="644"/>
      <c r="B12" s="644"/>
      <c r="C12" s="512"/>
      <c r="D12" s="8"/>
      <c r="E12" s="8"/>
      <c r="F12" s="8"/>
      <c r="G12" s="49"/>
      <c r="H12" s="6"/>
      <c r="O12" s="17"/>
      <c r="P12" s="21"/>
    </row>
    <row r="13" spans="1:16" ht="12.75" customHeight="1">
      <c r="B13" s="70"/>
      <c r="C13" s="67"/>
      <c r="D13" s="8"/>
      <c r="H13" s="6"/>
      <c r="L13" s="6"/>
    </row>
    <row r="14" spans="1:16" ht="12.75" customHeight="1">
      <c r="A14" s="193"/>
      <c r="B14" s="65"/>
      <c r="C14" s="169"/>
      <c r="D14" s="8"/>
      <c r="E14" s="8"/>
      <c r="F14" s="8"/>
      <c r="G14" s="6"/>
      <c r="H14" s="6"/>
      <c r="L14" s="6"/>
    </row>
    <row r="15" spans="1:16" ht="12.75" customHeight="1">
      <c r="A15" s="10"/>
      <c r="B15" s="8"/>
      <c r="C15" s="12"/>
      <c r="D15" s="8"/>
      <c r="E15" s="8"/>
      <c r="F15" s="8"/>
      <c r="G15" s="6"/>
      <c r="H15" s="6"/>
      <c r="L15" s="6"/>
    </row>
    <row r="16" spans="1:16" ht="12.75" customHeight="1">
      <c r="A16" s="7"/>
      <c r="B16" s="8"/>
      <c r="C16" s="12"/>
      <c r="D16" s="8"/>
      <c r="E16" s="8"/>
      <c r="F16" s="8"/>
      <c r="G16" s="6"/>
      <c r="H16" s="6"/>
      <c r="I16" s="647" t="s">
        <v>2890</v>
      </c>
      <c r="L16" s="6"/>
    </row>
    <row r="17" spans="1:12" ht="12.75" customHeight="1">
      <c r="A17" s="7"/>
      <c r="B17" s="8"/>
      <c r="C17" s="12"/>
      <c r="D17" s="8"/>
      <c r="E17" s="8"/>
      <c r="F17" s="8"/>
      <c r="G17" s="6"/>
      <c r="H17" s="6"/>
      <c r="I17" s="647"/>
      <c r="L17" s="6"/>
    </row>
    <row r="18" spans="1:12" ht="14.25" customHeight="1">
      <c r="A18" s="7"/>
      <c r="B18" s="8"/>
      <c r="C18" s="27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B19" s="8"/>
      <c r="C19" s="27"/>
      <c r="D19" s="8"/>
      <c r="E19" s="8"/>
      <c r="F19" s="8"/>
      <c r="G19" s="6"/>
      <c r="H19" s="6"/>
      <c r="I19" s="648"/>
      <c r="L19" s="6"/>
    </row>
    <row r="20" spans="1:12" ht="14.25" customHeight="1">
      <c r="A20" s="7"/>
      <c r="B20" s="8"/>
      <c r="C20" s="27"/>
      <c r="D20" s="8"/>
      <c r="E20" s="8"/>
      <c r="F20" s="8"/>
      <c r="G20" s="6"/>
      <c r="H20" s="6"/>
      <c r="L20" s="6"/>
    </row>
    <row r="21" spans="1:12" ht="16.5" customHeight="1">
      <c r="A21" s="523" t="s">
        <v>2962</v>
      </c>
      <c r="B21" s="8"/>
      <c r="C21" s="8"/>
      <c r="E21" s="8"/>
      <c r="F21" s="8"/>
      <c r="G21" s="6"/>
      <c r="H21" s="6"/>
      <c r="L21" s="6"/>
    </row>
    <row r="22" spans="1:12" ht="16.5" customHeight="1">
      <c r="A22" s="7"/>
      <c r="B22" s="8"/>
      <c r="C22" s="8"/>
      <c r="D22" s="13"/>
      <c r="E22" s="8"/>
      <c r="F22" s="6"/>
      <c r="G22" s="135" t="str">
        <f>+Faworyt!G23</f>
        <v>partnerská zľava:</v>
      </c>
      <c r="H22" s="6"/>
      <c r="L22" s="6"/>
    </row>
    <row r="23" spans="1:12" ht="12.75" customHeight="1">
      <c r="A23" s="132" t="str">
        <f>+Faworyt!A24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L23" s="6"/>
    </row>
    <row r="24" spans="1:12" s="83" customFormat="1" ht="12.75" customHeight="1">
      <c r="A24" s="81"/>
      <c r="B24" s="82" t="str">
        <f>+Faworyt!B25</f>
        <v>kód</v>
      </c>
      <c r="C24" s="82" t="str">
        <f>+Faworyt!C25</f>
        <v>názov</v>
      </c>
      <c r="D24" s="82" t="str">
        <f>+Faworyt!D25</f>
        <v>ks</v>
      </c>
      <c r="E24" s="82" t="str">
        <f>+Faworyt!E25</f>
        <v>cena/ks</v>
      </c>
      <c r="F24" s="18" t="str">
        <f>+Faworyt!F25</f>
        <v>cena celkom</v>
      </c>
      <c r="G24" s="18" t="str">
        <f>+Faworyt!G25</f>
        <v>celkom netto:</v>
      </c>
      <c r="H24" s="18"/>
      <c r="I24" s="18" t="str">
        <f>texty!A29</f>
        <v>Poznámka:</v>
      </c>
      <c r="J24" s="18"/>
      <c r="L24" s="18"/>
    </row>
    <row r="25" spans="1:12" ht="12.75" customHeight="1">
      <c r="A25" s="7" t="str">
        <f>+Faworyt!A26</f>
        <v>Horný profil:</v>
      </c>
      <c r="B25" s="8">
        <f>+VLOOKUP(O8,data!$C$176:$D$190,2,0)</f>
        <v>89106</v>
      </c>
      <c r="C25" s="38" t="str">
        <f>+VLOOKUP(B25,cennik!$A:$G,2,FALSE)</f>
        <v>SEVROLL Gemini horné vedenie 1,7m strieborná</v>
      </c>
      <c r="D25" s="8">
        <v>1</v>
      </c>
      <c r="E25" s="219">
        <f>+VLOOKUP(B25,cennik!$A:$G,3,FALSE)</f>
        <v>16.077369999999998</v>
      </c>
      <c r="F25" s="92">
        <f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" t="str">
        <f>+Faworyt!A27</f>
        <v>spodný profil:</v>
      </c>
      <c r="B26" s="16">
        <f>+VLOOKUP(O6,data!$C$4:$D$73,2,0)</f>
        <v>84385</v>
      </c>
      <c r="C26" s="25" t="str">
        <f>IF($B$26=data!$D$54,texty!$A$239,+VLOOKUP($B$26,cennik!$A$3:$G$907,2,FALSE))</f>
        <v>SEVROLL Elegant spodné vedenie 1,7m striebor</v>
      </c>
      <c r="D26" s="17">
        <v>1</v>
      </c>
      <c r="E26" s="92">
        <f>IF(B26=data!$D$63,0,+VLOOKUP(B26,cennik!$A$3:$G$907,3,FALSE))</f>
        <v>9.0389999999999997</v>
      </c>
      <c r="F26" s="92">
        <f t="shared" ref="F26" si="0">+E26*D26</f>
        <v>9.0389999999999997</v>
      </c>
      <c r="G26" s="93">
        <f t="shared" ref="G26" si="1">+F26*(100-$G$23)/100</f>
        <v>9.0389999999999997</v>
      </c>
      <c r="H26" s="24" t="str">
        <f>cennik!$B$2</f>
        <v>EUR</v>
      </c>
      <c r="I26" s="483" t="str">
        <f>IFERROR(IF((VLOOKUP(B26,cennik!A:L,12,0))="O",texty!$A$250,""),"")</f>
        <v/>
      </c>
      <c r="K26" s="196" t="str">
        <f>IF(D26&gt;0,IF(VLOOKUP(B26,cennik!A:L,12,FALSE)="O",1,""),"")</f>
        <v/>
      </c>
      <c r="L26" s="6"/>
    </row>
    <row r="27" spans="1:12" ht="12.75" customHeight="1">
      <c r="A27" s="73" t="str">
        <f>+Faworyt!A28</f>
        <v>krycí profil (maska):</v>
      </c>
      <c r="B27" s="8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8">
        <v>1</v>
      </c>
      <c r="E27" s="92">
        <f>IF(B27=data!$D$63,0,+VLOOKUP(B27,cennik!$A$3:$G$907,3,FALSE))</f>
        <v>2.8683800000000002</v>
      </c>
      <c r="F27" s="92">
        <f t="shared" ref="F27" si="2">+E27*D27</f>
        <v>2.8683800000000002</v>
      </c>
      <c r="G27" s="93">
        <f t="shared" ref="G27" si="3">+F27*(100-$G$23)/100</f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K27" s="196"/>
      <c r="L27" s="6"/>
    </row>
    <row r="28" spans="1:12" ht="12.75" customHeight="1">
      <c r="A28" s="7" t="str">
        <f>+Faworyt!A29</f>
        <v>horný vozík</v>
      </c>
      <c r="B28" s="72">
        <v>228023</v>
      </c>
      <c r="C28" s="38" t="str">
        <f>+VLOOKUP(B28,cennik!$A:$G,2,FALSE)</f>
        <v>SEVROLL Focus horný vozík 18mm - 2ks</v>
      </c>
      <c r="D28" s="17">
        <f>IF((D41+D42)&gt;D4,0,D4-(D42+D41))</f>
        <v>3</v>
      </c>
      <c r="E28" s="219">
        <f>+VLOOKUP(B28,cennik!$A:$G,3,FALSE)</f>
        <v>4.0494700000000003</v>
      </c>
      <c r="F28" s="92">
        <f>+E28*D28</f>
        <v>12.148410000000002</v>
      </c>
      <c r="G28" s="93">
        <f>+F28*(100-$G$23)/100</f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IF(F4=Ergo!M63,362316,229440)</f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>+E29*D29</f>
        <v>13.666979999999999</v>
      </c>
      <c r="G29" s="93">
        <f>+F29*(100-$G$23)/100</f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 t="str">
        <f>+Faworyt!A31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92">
        <f>+E30*D30</f>
        <v>0</v>
      </c>
      <c r="G30" s="93">
        <f>+F30*(100-$G$23)/100</f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+VLOOKUP(P7,data!$C$600:$D$602,2,0)</f>
        <v>245815</v>
      </c>
      <c r="C31" s="38" t="str">
        <f>+VLOOKUP(B31,cennik!$A:$G,2,FALSE)</f>
        <v>SEVROLL Focus II 18mm úch.lišta 2,7m strieb</v>
      </c>
      <c r="D31" s="17">
        <f>IF(B9&lt;=1347,D4*2/2,D4*2)</f>
        <v>3</v>
      </c>
      <c r="E31" s="219">
        <f>+VLOOKUP(B31,cennik!$A:$G,3,FALSE)</f>
        <v>8.0989400000000007</v>
      </c>
      <c r="F31" s="92">
        <f>+E31*D31</f>
        <v>24.296820000000004</v>
      </c>
      <c r="G31" s="93">
        <f>+F31*(100-$G$23)/100</f>
        <v>24.296820000000004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92"/>
      <c r="G32" s="92"/>
      <c r="H32" s="93"/>
      <c r="I32" s="483" t="str">
        <f>IFERROR(IF((VLOOKUP(B32,cennik!A:L,12,0))="O",texty!$A$250,""),"")</f>
        <v/>
      </c>
      <c r="J32" s="186"/>
      <c r="K32" s="196"/>
      <c r="L32" s="6"/>
    </row>
    <row r="33" spans="1:12" ht="12.75" customHeight="1">
      <c r="A33" s="132" t="str">
        <f>+Faworyt!A34</f>
        <v>Voliteľné príslušenstvo:</v>
      </c>
      <c r="B33" s="16"/>
      <c r="C33" s="25"/>
      <c r="D33" s="492" t="str">
        <f>+Faworyt!D34</f>
        <v>zadajte počet:</v>
      </c>
      <c r="E33" s="92"/>
      <c r="F33" s="92"/>
      <c r="G33" s="92"/>
      <c r="H33" s="93"/>
      <c r="I33" s="483" t="str">
        <f>IFERROR(IF((VLOOKUP(B33,cennik!A:L,12,0))="O",texty!$A$250,""),"")</f>
        <v/>
      </c>
      <c r="J33" s="186"/>
      <c r="K33" s="196"/>
      <c r="L33" s="6"/>
    </row>
    <row r="34" spans="1:1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 t="shared" ref="G34:G56" si="4">+F34*(100-$F$23)/100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5"/>
      <c r="L34" s="6"/>
    </row>
    <row r="35" spans="1:12" ht="12.75" customHeight="1">
      <c r="A35" s="7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6" si="5">+E35*D35</f>
        <v>0</v>
      </c>
      <c r="G35" s="105">
        <f t="shared" si="4"/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5"/>
      <c r="L35" s="6"/>
    </row>
    <row r="36" spans="1:1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4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5"/>
      <c r="L36" s="6"/>
    </row>
    <row r="37" spans="1:1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4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5"/>
      <c r="L37" s="6"/>
    </row>
    <row r="38" spans="1:1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4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5"/>
      <c r="L38" s="6"/>
    </row>
    <row r="39" spans="1:1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4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5"/>
      <c r="L39" s="6"/>
    </row>
    <row r="40" spans="1:1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4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5"/>
      <c r="L40" s="6"/>
    </row>
    <row r="41" spans="1:1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4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5"/>
      <c r="L41" s="6"/>
    </row>
    <row r="42" spans="1:1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4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5"/>
      <c r="L42" s="3"/>
    </row>
    <row r="43" spans="1:1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5"/>
        <v>0</v>
      </c>
      <c r="G43" s="105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5"/>
      <c r="L43" s="3"/>
    </row>
    <row r="44" spans="1:1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5"/>
        <v>0</v>
      </c>
      <c r="G44" s="105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5"/>
      <c r="L44" s="3"/>
    </row>
    <row r="45" spans="1:1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5"/>
        <v>0</v>
      </c>
      <c r="G45" s="105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5"/>
      <c r="L45" s="3"/>
    </row>
    <row r="46" spans="1:1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5"/>
        <v>0</v>
      </c>
      <c r="G46" s="105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5"/>
      <c r="L46" s="3"/>
    </row>
    <row r="47" spans="1:1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5"/>
        <v>0</v>
      </c>
      <c r="G47" s="105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5"/>
      <c r="L47" s="3"/>
    </row>
    <row r="48" spans="1:1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5"/>
        <v>0</v>
      </c>
      <c r="G48" s="105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5"/>
      <c r="L48" s="3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5"/>
      <c r="L49" s="6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5"/>
      <c r="L50" s="6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5"/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5"/>
      <c r="L52" s="6"/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5"/>
        <v>0</v>
      </c>
      <c r="G53" s="105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5"/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5"/>
        <v>0</v>
      </c>
      <c r="G54" s="105">
        <f t="shared" si="4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5"/>
      <c r="L54" s="6"/>
    </row>
    <row r="55" spans="1:14" ht="12.75" customHeight="1">
      <c r="A55" s="436" t="str">
        <f>texty!$A$240</f>
        <v>zámok posuvných dverí</v>
      </c>
      <c r="B55" s="24">
        <v>216363</v>
      </c>
      <c r="C55" s="38" t="str">
        <f>+VLOOKUP(B55,cennik!$A:$G,2,FALSE)</f>
        <v>SEVROLL zámok na posuvné dvere 18 mm</v>
      </c>
      <c r="D55" s="29"/>
      <c r="E55" s="219">
        <f>+VLOOKUP(B55,cennik!$A:$G,3,FALSE)</f>
        <v>17.186150000000001</v>
      </c>
      <c r="F55" s="106">
        <f t="shared" si="5"/>
        <v>0</v>
      </c>
      <c r="G55" s="105">
        <f t="shared" si="4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5"/>
      <c r="L55" s="6"/>
    </row>
    <row r="56" spans="1:14" ht="12.75" customHeight="1">
      <c r="A56" s="7" t="str">
        <f>texty!$A$112</f>
        <v>protiprachový kartáč samolepiaci</v>
      </c>
      <c r="B56" s="24">
        <v>308639</v>
      </c>
      <c r="C56" s="25" t="str">
        <f>+VLOOKUP(B56,cennik!$A:$G,2,FALSE)</f>
        <v>SEVROLL protiprachový kartáč samolep. 6,7x13mm</v>
      </c>
      <c r="D56" s="29"/>
      <c r="E56" s="219">
        <f>+VLOOKUP(B56,cennik!$A:$G,3,FALSE)</f>
        <v>0.28210000000000002</v>
      </c>
      <c r="F56" s="106">
        <f t="shared" si="5"/>
        <v>0</v>
      </c>
      <c r="G56" s="105">
        <f t="shared" si="4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K56" s="5"/>
      <c r="L56" s="6"/>
    </row>
    <row r="57" spans="1:14" ht="12.75" customHeight="1">
      <c r="A57" s="7"/>
      <c r="B57" s="24"/>
      <c r="C57" s="25"/>
      <c r="D57" s="286"/>
      <c r="E57" s="92"/>
      <c r="F57" s="92"/>
      <c r="G57" s="97"/>
      <c r="H57" s="93"/>
      <c r="J57" s="186"/>
      <c r="K57" s="186"/>
      <c r="L57" s="6"/>
    </row>
    <row r="58" spans="1:14" ht="16">
      <c r="A58" s="285" t="str">
        <f>texty!$A$190</f>
        <v>Ďalšie príslušenstvo</v>
      </c>
      <c r="B58" s="286"/>
      <c r="C58" s="286"/>
      <c r="D58" s="286"/>
      <c r="E58" s="286"/>
      <c r="F58" s="286"/>
      <c r="G58" s="286"/>
      <c r="H58" s="286"/>
      <c r="I58" s="286"/>
      <c r="J58" s="286"/>
      <c r="K58" s="135"/>
      <c r="L58" s="6"/>
    </row>
    <row r="59" spans="1:14" ht="12.75" customHeight="1">
      <c r="A59" s="285" t="str">
        <f>texty!$A$244</f>
        <v>Technický nákres tohoto systému</v>
      </c>
      <c r="C59" s="40"/>
      <c r="D59" s="79" t="str">
        <f>+Faworyt!D61</f>
        <v>CELKOM  (bez DPH)</v>
      </c>
      <c r="E59" s="116"/>
      <c r="F59" s="117">
        <f>SUM(F25:F56)</f>
        <v>78.096959999999996</v>
      </c>
      <c r="G59" s="117">
        <f>SUM(G25:G56)</f>
        <v>78.096959999999996</v>
      </c>
      <c r="H59" s="6" t="str">
        <f>cennik!$B$2</f>
        <v>EUR</v>
      </c>
      <c r="J59" s="186"/>
      <c r="K59" s="186"/>
      <c r="L59" s="6"/>
    </row>
    <row r="60" spans="1:14" ht="12.75" customHeight="1">
      <c r="A60" s="76" t="str">
        <f>System10!$A$67</f>
        <v>Vaša poznámka:</v>
      </c>
      <c r="B60" s="670"/>
      <c r="C60" s="671"/>
      <c r="D60" s="671"/>
      <c r="E60" s="671"/>
      <c r="F60" s="671"/>
      <c r="G60" s="672"/>
      <c r="H60" s="6"/>
      <c r="L60" s="6"/>
    </row>
    <row r="61" spans="1:14" ht="12.75" customHeight="1">
      <c r="A61" s="668">
        <f>profil!$U$15</f>
        <v>0</v>
      </c>
      <c r="B61" s="658"/>
      <c r="C61" s="658"/>
      <c r="D61" s="658"/>
      <c r="E61" s="658"/>
      <c r="F61" s="658"/>
      <c r="G61" s="658"/>
      <c r="H61" s="658"/>
      <c r="L61" s="6"/>
    </row>
    <row r="62" spans="1:14" ht="12.75" customHeight="1">
      <c r="A62" s="659" t="str">
        <f>IF(N62=1,texty!$A$215,IF(J62&gt;0,texty!$A$214,""))</f>
        <v/>
      </c>
      <c r="B62" s="659"/>
      <c r="C62" s="659"/>
      <c r="D62" s="659"/>
      <c r="E62" s="659"/>
      <c r="F62" s="659"/>
      <c r="G62" s="659"/>
      <c r="H62" s="659"/>
      <c r="J62" s="6">
        <f>SUM(J25:J56)</f>
        <v>0</v>
      </c>
      <c r="K62" s="5"/>
      <c r="L62" s="6"/>
      <c r="N62" s="5">
        <f>IF(ISERROR(J62),1,0)</f>
        <v>0</v>
      </c>
    </row>
    <row r="63" spans="1:14" ht="12.75" customHeight="1">
      <c r="L63" s="5" t="str">
        <f>texty!A128</f>
        <v xml:space="preserve">strieborná </v>
      </c>
      <c r="M63" s="21" t="s">
        <v>2884</v>
      </c>
    </row>
    <row r="64" spans="1:14" ht="12.75" customHeight="1">
      <c r="L64" s="5" t="str">
        <f>texty!A130</f>
        <v>oliva</v>
      </c>
      <c r="M64" s="21" t="s">
        <v>45</v>
      </c>
    </row>
    <row r="65" spans="12:12" ht="12.75" customHeight="1">
      <c r="L65" s="5" t="s">
        <v>26</v>
      </c>
    </row>
    <row r="66" spans="12:12" ht="12.75" customHeight="1"/>
    <row r="67" spans="12:12" ht="12.75" customHeight="1"/>
    <row r="68" spans="12:12" ht="12.75" customHeight="1"/>
  </sheetData>
  <sheetProtection algorithmName="SHA-512" hashValue="UFBdu/RAmqNxU+q371QItZVRXnwKaJUlCb+u2d8rgIgwVU4rMBeQcF/1mrRoVbj6TtQ7/x71hJcj797oVSSGKQ==" saltValue="mw1I3Fwwz2ovT6NKjeZplw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2"/>
  </mergeCells>
  <conditionalFormatting sqref="D6">
    <cfRule type="expression" dxfId="89" priority="7">
      <formula>$D$4=4</formula>
    </cfRule>
    <cfRule type="expression" dxfId="88" priority="8">
      <formula>$D$4&lt;&gt;4</formula>
    </cfRule>
  </conditionalFormatting>
  <conditionalFormatting sqref="G4">
    <cfRule type="expression" dxfId="87" priority="6">
      <formula>$D$4=4</formula>
    </cfRule>
  </conditionalFormatting>
  <conditionalFormatting sqref="I18:I19">
    <cfRule type="expression" dxfId="86" priority="39">
      <formula>$F$4=$M$63</formula>
    </cfRule>
  </conditionalFormatting>
  <conditionalFormatting sqref="A11">
    <cfRule type="expression" dxfId="85" priority="3">
      <formula>SUM($D$39:$D$40)&gt;0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:F6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$L$63:$L$65</formula1>
    </dataValidation>
    <dataValidation type="list" allowBlank="1" showInputMessage="1" showErrorMessage="1" sqref="F4" xr:uid="{00000000-0002-0000-1C00-000006000000}">
      <formula1>$M$63:$M$64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  <x14:conditionalFormatting xmlns:xm="http://schemas.microsoft.com/office/excel/2006/main">
          <x14:cfRule type="expression" priority="2" id="{B0001956-07CB-4449-BBCB-E6333AC0CB26}">
            <xm:f>$I25=texty!$A$250</xm:f>
            <x14:dxf>
              <font>
                <color rgb="FFFF0000"/>
              </font>
            </x14:dxf>
          </x14:cfRule>
          <xm:sqref>I25:I56</xm:sqref>
        </x14:conditionalFormatting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A25:H56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7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.1640625" style="5" customWidth="1"/>
    <col min="2" max="2" width="15.83203125" style="5" customWidth="1"/>
    <col min="3" max="3" width="46.5" style="5" bestFit="1" customWidth="1"/>
    <col min="4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-7.8</v>
      </c>
    </row>
    <row r="2" spans="1:16" ht="18.75" customHeight="1">
      <c r="A2" s="538" t="s">
        <v>695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 2 742 mm /")</f>
        <v>výška / max. 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68">
        <f>+B4-42</f>
        <v>-42</v>
      </c>
      <c r="C7" s="69">
        <f>+((C4-3+28*(D4-1))/D4+IF(AND(D4=4,D6=2),M1,0))</f>
        <v>17.666666666666668</v>
      </c>
      <c r="D7" s="8"/>
      <c r="E7" s="8"/>
      <c r="F7" s="8"/>
      <c r="G7" s="656"/>
      <c r="H7" s="656"/>
      <c r="I7" s="65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+Faworyt!A8</f>
        <v>rozmer výplne 18mm:</v>
      </c>
      <c r="B8" s="68">
        <f>+B7-2</f>
        <v>-44</v>
      </c>
      <c r="C8" s="511">
        <f>+C7-3</f>
        <v>14.666666666666668</v>
      </c>
      <c r="D8" s="8"/>
      <c r="E8" s="8"/>
      <c r="F8" s="8"/>
      <c r="G8" s="51"/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texty!$A$51</f>
        <v>Dĺžka úchytkového profilu (+2 mm)</v>
      </c>
      <c r="B9" s="510">
        <f>B8+2</f>
        <v>-42</v>
      </c>
      <c r="C9" s="503"/>
      <c r="D9" s="8"/>
      <c r="E9" s="8"/>
      <c r="F9" s="8"/>
      <c r="G9" s="5" t="str">
        <f>Faworyt!G8</f>
        <v>Maximálna hmotnosť krídla je 50 kg</v>
      </c>
      <c r="H9" s="6"/>
      <c r="L9" s="37"/>
      <c r="M9" s="36"/>
    </row>
    <row r="10" spans="1:16" ht="12.75" customHeight="1">
      <c r="A10" s="173" t="str">
        <f>texty!A$64</f>
        <v>Pri tejto zostave nie je možné použiť kombináciu so sklom / zrkadlom</v>
      </c>
      <c r="B10" s="71"/>
      <c r="C10" s="67"/>
      <c r="D10" s="8"/>
      <c r="E10" s="8"/>
      <c r="F10" s="8"/>
      <c r="G10" s="49"/>
      <c r="H10" s="6"/>
      <c r="O10" s="17"/>
      <c r="P10" s="21"/>
    </row>
    <row r="11" spans="1:16" ht="28">
      <c r="A11" s="644" t="str">
        <f>IF(SUM(D38:D39)&gt;0,texty!A246,"")</f>
        <v/>
      </c>
      <c r="B11" s="644"/>
      <c r="C11" s="512" t="str">
        <f>texty!A78</f>
        <v>dodatočné odpočty výšky vypočítaných výplní pri použití deliacich profilov výplne:</v>
      </c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644"/>
      <c r="B12" s="644"/>
      <c r="C12" s="67"/>
      <c r="D12" s="8"/>
      <c r="H12" s="6"/>
      <c r="L12" s="6"/>
    </row>
    <row r="13" spans="1:16" ht="12.75" customHeight="1">
      <c r="A13" s="193"/>
      <c r="B13" s="65"/>
      <c r="C13" s="169"/>
      <c r="D13" s="8"/>
      <c r="E13" s="8"/>
      <c r="F13" s="8"/>
      <c r="G13" s="6"/>
      <c r="H13" s="6"/>
      <c r="L13" s="6"/>
    </row>
    <row r="14" spans="1:16" ht="12.75" customHeight="1">
      <c r="A14" s="10"/>
      <c r="B14" s="8"/>
      <c r="C14" s="12"/>
      <c r="D14" s="8"/>
      <c r="E14" s="8"/>
      <c r="F14" s="8"/>
      <c r="G14" s="6"/>
      <c r="H14" s="6"/>
      <c r="L14" s="6"/>
    </row>
    <row r="15" spans="1:16" ht="12.75" customHeight="1">
      <c r="A15" s="7"/>
      <c r="B15" s="8"/>
      <c r="C15" s="12"/>
      <c r="D15" s="8"/>
      <c r="E15" s="8"/>
      <c r="F15" s="8"/>
      <c r="G15" s="6"/>
      <c r="H15" s="6"/>
      <c r="I15" s="647" t="s">
        <v>2890</v>
      </c>
      <c r="L15" s="6"/>
    </row>
    <row r="16" spans="1:16" ht="12.75" customHeight="1">
      <c r="A16" s="7"/>
      <c r="B16" s="8"/>
      <c r="C16" s="12"/>
      <c r="D16" s="8"/>
      <c r="E16" s="8"/>
      <c r="F16" s="8"/>
      <c r="G16" s="6"/>
      <c r="H16" s="6"/>
      <c r="I16" s="647"/>
      <c r="L16" s="6"/>
    </row>
    <row r="17" spans="1:12" ht="14.25" customHeight="1">
      <c r="A17" s="7"/>
      <c r="B17" s="8"/>
      <c r="C17" s="27"/>
      <c r="D17" s="8"/>
      <c r="E17" s="8"/>
      <c r="F17" s="8"/>
      <c r="G17" s="6"/>
      <c r="H17" s="6"/>
      <c r="I17" s="648" t="s">
        <v>2891</v>
      </c>
      <c r="L17" s="6"/>
    </row>
    <row r="18" spans="1:12" ht="14.25" customHeight="1">
      <c r="A18" s="7"/>
      <c r="B18" s="8"/>
      <c r="C18" s="27"/>
      <c r="D18" s="8"/>
      <c r="E18" s="8"/>
      <c r="F18" s="8"/>
      <c r="G18" s="6"/>
      <c r="H18" s="6"/>
      <c r="I18" s="648"/>
      <c r="L18" s="6"/>
    </row>
    <row r="19" spans="1:12" ht="14.25" customHeight="1">
      <c r="A19" s="523" t="s">
        <v>2962</v>
      </c>
      <c r="B19" s="8"/>
      <c r="C19" s="27"/>
      <c r="D19" s="8"/>
      <c r="E19" s="8"/>
      <c r="F19" s="8"/>
      <c r="G19" s="6"/>
      <c r="H19" s="6"/>
      <c r="L19" s="6"/>
    </row>
    <row r="20" spans="1:12" ht="16.5" customHeight="1">
      <c r="A20" s="7"/>
      <c r="B20" s="8"/>
      <c r="C20" s="8"/>
      <c r="E20" s="8"/>
      <c r="F20" s="8"/>
      <c r="G20" s="6"/>
      <c r="H20" s="6"/>
      <c r="L20" s="6"/>
    </row>
    <row r="21" spans="1:12" ht="16.5" customHeight="1">
      <c r="A21" s="7"/>
      <c r="B21" s="8"/>
      <c r="C21" s="8"/>
      <c r="D21" s="13"/>
      <c r="E21" s="8"/>
      <c r="F21" s="6"/>
      <c r="G21" s="135" t="str">
        <f>+Faworyt!G23</f>
        <v>partnerská zľava:</v>
      </c>
      <c r="H21" s="6"/>
      <c r="L21" s="6"/>
    </row>
    <row r="22" spans="1:12" ht="12.75" customHeight="1">
      <c r="A22" s="132" t="str">
        <f>+Faworyt!A24</f>
        <v>Objednávacie kódy, ceny:</v>
      </c>
      <c r="B22" s="8"/>
      <c r="C22" s="8"/>
      <c r="D22" s="8"/>
      <c r="E22" s="8"/>
      <c r="F22" s="6"/>
      <c r="G22" s="121">
        <f>profil!C15</f>
        <v>0</v>
      </c>
      <c r="H22" s="6" t="s">
        <v>70</v>
      </c>
      <c r="L22" s="6"/>
    </row>
    <row r="23" spans="1:12" s="83" customFormat="1" ht="12.75" customHeight="1">
      <c r="A23" s="81"/>
      <c r="B23" s="82" t="str">
        <f>+Faworyt!B25</f>
        <v>kód</v>
      </c>
      <c r="C23" s="82" t="str">
        <f>+Faworyt!C25</f>
        <v>názov</v>
      </c>
      <c r="D23" s="82" t="str">
        <f>+Faworyt!D25</f>
        <v>ks</v>
      </c>
      <c r="E23" s="82" t="str">
        <f>+Faworyt!E25</f>
        <v>cena/ks</v>
      </c>
      <c r="F23" s="18" t="str">
        <f>+Faworyt!F25</f>
        <v>cena celkom</v>
      </c>
      <c r="G23" s="18" t="str">
        <f>+Faworyt!G25</f>
        <v>celkom netto:</v>
      </c>
      <c r="H23" s="18"/>
      <c r="I23" s="18" t="str">
        <f>texty!A29</f>
        <v>Poznámka:</v>
      </c>
      <c r="J23" s="18"/>
      <c r="L23" s="18"/>
    </row>
    <row r="24" spans="1:12" ht="12.75" customHeight="1">
      <c r="A24" s="7" t="str">
        <f>+Faworyt!A26</f>
        <v>Horný profil:</v>
      </c>
      <c r="B24" s="8">
        <f>+VLOOKUP(O8,data!$C$176:$D$210,2,0)</f>
        <v>89106</v>
      </c>
      <c r="C24" s="38" t="str">
        <f>+VLOOKUP(B24,cennik!$A:$G,2,FALSE)</f>
        <v>SEVROLL Gemini horné vedenie 1,7m strieborná</v>
      </c>
      <c r="D24" s="8">
        <v>1</v>
      </c>
      <c r="E24" s="219">
        <f>+VLOOKUP(B24,cennik!$A:$G,3,FALSE)</f>
        <v>16.077369999999998</v>
      </c>
      <c r="F24" s="92">
        <f>+E24*D24</f>
        <v>16.077369999999998</v>
      </c>
      <c r="G24" s="93">
        <f>+F24*(100-$G$22)/100</f>
        <v>16.077369999999998</v>
      </c>
      <c r="H24" s="6" t="str">
        <f>cennik!$B$2</f>
        <v>EUR</v>
      </c>
      <c r="I24" s="483" t="str">
        <f>IFERROR(IF((VLOOKUP(B24,cennik!A:L,12,0))="O",texty!$A$250,""),"")</f>
        <v/>
      </c>
      <c r="J24" s="196" t="str">
        <f>IF(D24&gt;0,IF(VLOOKUP(B24,cennik!A:L,12,FALSE)="O",1,""),"")</f>
        <v/>
      </c>
      <c r="L24" s="6"/>
    </row>
    <row r="25" spans="1:12" ht="12.75" customHeight="1">
      <c r="A25" s="7" t="str">
        <f>+Faworyt!A27</f>
        <v>spodný profil:</v>
      </c>
      <c r="B25" s="8">
        <f>+VLOOKUP(O6,data!$C$4:$D$73,2,0)</f>
        <v>84385</v>
      </c>
      <c r="C25" s="38" t="str">
        <f>+VLOOKUP(B25,cennik!$A:$G,2,FALSE)</f>
        <v>SEVROLL Elegant spodné vedenie 1,7m striebor</v>
      </c>
      <c r="D25" s="8">
        <v>1</v>
      </c>
      <c r="E25" s="219">
        <f>+VLOOKUP(B25,cennik!$A:$G,3,FALSE)</f>
        <v>9.0389999999999997</v>
      </c>
      <c r="F25" s="92">
        <f>+E25*D25</f>
        <v>9.0389999999999997</v>
      </c>
      <c r="G25" s="93">
        <f t="shared" ref="G25:G26" si="0">+F25*(100-$G$22)/100</f>
        <v>9.0389999999999997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3" t="str">
        <f>+Faworyt!A28</f>
        <v>krycí profil (maska):</v>
      </c>
      <c r="B26" s="8">
        <f>+VLOOKUP(O6,data!$C$90:$D$175,2,0)</f>
        <v>318657</v>
      </c>
      <c r="C26" s="25" t="str">
        <f>IF($B$26=data!$D$54,texty!$A$239,+VLOOKUP($B$26,cennik!$A$3:$G$907,2,FALSE))</f>
        <v>SEV-maska Elegant II 1,7m strieborná</v>
      </c>
      <c r="D26" s="8">
        <v>1</v>
      </c>
      <c r="E26" s="92">
        <f>IF(B26=data!$D$63,0,+VLOOKUP(B26,cennik!$A$3:$G$907,3,FALSE))</f>
        <v>2.8683800000000002</v>
      </c>
      <c r="F26" s="92">
        <f t="shared" ref="F26" si="1">+E26*D26</f>
        <v>2.8683800000000002</v>
      </c>
      <c r="G26" s="93">
        <f t="shared" si="0"/>
        <v>2.8683800000000002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" t="str">
        <f>+Faworyt!A29</f>
        <v>horný vozík</v>
      </c>
      <c r="B27" s="72">
        <v>228023</v>
      </c>
      <c r="C27" s="38" t="str">
        <f>+VLOOKUP(B27,cennik!$A:$G,2,FALSE)</f>
        <v>SEVROLL Focus horný vozík 18mm - 2ks</v>
      </c>
      <c r="D27" s="17">
        <f>IF((D41+D40)&gt;D4,0,D4-(D40+D41))</f>
        <v>3</v>
      </c>
      <c r="E27" s="219">
        <f>+VLOOKUP(B27,cennik!$A:$G,3,FALSE)</f>
        <v>4.0494700000000003</v>
      </c>
      <c r="F27" s="92">
        <f>+E27*D27</f>
        <v>12.148410000000002</v>
      </c>
      <c r="G27" s="93">
        <f>+F27*(100-$G$22)/100</f>
        <v>12.148410000000002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+Faworyt!A30</f>
        <v>spodný vozík</v>
      </c>
      <c r="B28" s="16">
        <f>IF(F4=M63,362316,229440)</f>
        <v>362316</v>
      </c>
      <c r="C28" s="38" t="str">
        <f>+VLOOKUP(B28,cennik!$A:$G,2,FALSE)</f>
        <v>SEV-2x spodný vozík DTD 18mm, bez pozicionéru, bez pružiny</v>
      </c>
      <c r="D28" s="17">
        <f>+D4</f>
        <v>3</v>
      </c>
      <c r="E28" s="219">
        <f>+VLOOKUP(B28,cennik!$A:$G,3,FALSE)</f>
        <v>4.5556599999999996</v>
      </c>
      <c r="F28" s="92">
        <f>+E28*D28</f>
        <v>13.666979999999999</v>
      </c>
      <c r="G28" s="93">
        <f>+F28*(100-$G$22)/100</f>
        <v>13.666979999999999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+Faworyt!A31</f>
        <v>dorazový kartáč</v>
      </c>
      <c r="B29" s="16">
        <v>89131</v>
      </c>
      <c r="C29" s="38" t="str">
        <f>+VLOOKUP(B29,cennik!$A:$G,2,FALSE)</f>
        <v>SEVROLL dorazový kartáč samolepiaci 6,7x4mm</v>
      </c>
      <c r="D29" s="17">
        <f>CEILING((B4*D4*2/1000),1)</f>
        <v>0</v>
      </c>
      <c r="E29" s="219">
        <f>+VLOOKUP(B29,cennik!$A:$G,3,FALSE)</f>
        <v>0.16275999999999999</v>
      </c>
      <c r="F29" s="92">
        <f>+E29*D29</f>
        <v>0</v>
      </c>
      <c r="G29" s="93">
        <f>+F29*(100-$G$22)/100</f>
        <v>0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 t="str">
        <f>+Faworyt!A32</f>
        <v>úchytková lišta</v>
      </c>
      <c r="B30" s="16">
        <f>+VLOOKUP(P7,data!$C$662:$D$663,2,0)</f>
        <v>143983</v>
      </c>
      <c r="C30" s="38" t="str">
        <f>+VLOOKUP(B30,cennik!$A:$G,2,FALSE)</f>
        <v>SEVROLL-ERGO 18 UCH.LIŠTA.2,70m STR.</v>
      </c>
      <c r="D30" s="17">
        <f>IF(B9&lt;=1347,D4*2/2,D4*2)</f>
        <v>3</v>
      </c>
      <c r="E30" s="219">
        <f>+VLOOKUP(B30,cennik!$A:$G,3,FALSE)</f>
        <v>7.6650700000000001</v>
      </c>
      <c r="F30" s="92">
        <f>+E30*D30</f>
        <v>22.99521</v>
      </c>
      <c r="G30" s="93">
        <f>+F30*(100-$G$22)/100</f>
        <v>22.99521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7"/>
      <c r="B31" s="16"/>
      <c r="C31" s="25"/>
      <c r="D31" s="17"/>
      <c r="E31" s="92"/>
      <c r="F31" s="92"/>
      <c r="G31" s="93"/>
      <c r="H31" s="6"/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ht="12.75" customHeight="1">
      <c r="A32" s="132" t="str">
        <f>+Faworyt!A34</f>
        <v>Voliteľné príslušenstvo:</v>
      </c>
      <c r="B32" s="16"/>
      <c r="C32" s="25"/>
      <c r="D32" s="492" t="str">
        <f>+Faworyt!D34</f>
        <v>zadajte počet:</v>
      </c>
      <c r="E32" s="92"/>
      <c r="F32" s="92"/>
      <c r="G32" s="93"/>
      <c r="H32" s="6"/>
      <c r="I32" s="483" t="str">
        <f>IFERROR(IF((VLOOKUP(B32,cennik!A:L,12,0))="O",texty!$A$250,""),"")</f>
        <v/>
      </c>
      <c r="J32" s="196"/>
      <c r="L32" s="6"/>
    </row>
    <row r="33" spans="1:12" ht="12.75" customHeight="1">
      <c r="A33" s="7" t="str">
        <f>texty!$A$88</f>
        <v>pozicionér do horného vedenia</v>
      </c>
      <c r="B33" s="192">
        <v>298035</v>
      </c>
      <c r="C33" s="38" t="str">
        <f>+VLOOKUP(B33,cennik!$A:$G,2,FALSE)</f>
        <v>SEVROLL Fix pozicionér pre horný vozík tran.</v>
      </c>
      <c r="D33" s="29"/>
      <c r="E33" s="219">
        <f>+VLOOKUP(B33,cennik!$A:$G,3,FALSE)</f>
        <v>1.0605800000000001</v>
      </c>
      <c r="F33" s="106">
        <f>+E33*D33</f>
        <v>0</v>
      </c>
      <c r="G33" s="105">
        <f t="shared" ref="G33:G55" si="2">+F33*(100-$F$22)/100</f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5"/>
      <c r="L33" s="6"/>
    </row>
    <row r="34" spans="1:12" ht="12.75" customHeight="1">
      <c r="A34" s="7" t="str">
        <f>texty!$A$111</f>
        <v xml:space="preserve">pozicionér </v>
      </c>
      <c r="B34" s="16">
        <f>IF(F4="Gemini",387424,89063)</f>
        <v>89063</v>
      </c>
      <c r="C34" s="38" t="str">
        <f>+VLOOKUP(B34,cennik!$A:$G,2,FALSE)</f>
        <v>SEV - pozicionér HI-TEC</v>
      </c>
      <c r="D34" s="29"/>
      <c r="E34" s="219">
        <f>+VLOOKUP(B34,cennik!$A:$G,3,FALSE)</f>
        <v>0.31335000000000002</v>
      </c>
      <c r="F34" s="106">
        <f t="shared" ref="F34:F55" si="3">+E34*D34</f>
        <v>0</v>
      </c>
      <c r="G34" s="105">
        <f t="shared" si="2"/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5"/>
      <c r="L34" s="6"/>
    </row>
    <row r="35" spans="1:12" ht="12.75" customHeight="1">
      <c r="A35" s="436" t="str">
        <f>texty!$A$228</f>
        <v> Tlmič dorazu MINI do 25 kg (pár)</v>
      </c>
      <c r="B35" s="16">
        <v>318662</v>
      </c>
      <c r="C35" s="25" t="str">
        <f>+VLOOKUP(B35,cennik!$A:$G,2,FALSE)</f>
        <v>SEVROLL tlmič dorazu Mini SV25 - 2ks</v>
      </c>
      <c r="D35" s="387"/>
      <c r="E35" s="92">
        <f>+VLOOKUP(B35,cennik!$A:$G,3,FALSE)</f>
        <v>22.368510000000001</v>
      </c>
      <c r="F35" s="97">
        <f>+CEILING(D35,1)*E35</f>
        <v>0</v>
      </c>
      <c r="G35" s="105">
        <f t="shared" si="2"/>
        <v>0</v>
      </c>
      <c r="H35" s="24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5"/>
      <c r="L35" s="6"/>
    </row>
    <row r="36" spans="1:12" ht="12.75" customHeight="1">
      <c r="A36" s="436" t="str">
        <f>texty!$A$229</f>
        <v> Tlmič dorazu MINI do 40 kg (pár)</v>
      </c>
      <c r="B36" s="24">
        <v>283956</v>
      </c>
      <c r="C36" s="25" t="str">
        <f>+VLOOKUP(B36,cennik!$A:$G,2,FALSE)</f>
        <v>SEVROLL tlmič dorazu Mini SV40 - 2ks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5"/>
      <c r="L36" s="6"/>
    </row>
    <row r="37" spans="1:12" ht="12.75" customHeight="1">
      <c r="A37" s="436" t="str">
        <f>texty!$A$230</f>
        <v> Tlmič dorazu MINI do 60 kg (pár)</v>
      </c>
      <c r="B37" s="24">
        <v>351743</v>
      </c>
      <c r="C37" s="25" t="str">
        <f>+VLOOKUP(B37,cennik!$A:$G,2,FALSE)</f>
        <v/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5"/>
      <c r="L37" s="6"/>
    </row>
    <row r="38" spans="1:12" ht="12.75" customHeight="1">
      <c r="A38" s="436" t="str">
        <f>texty!$A$231</f>
        <v> Tlmič pre stredné krídlo do 25 kg</v>
      </c>
      <c r="B38" s="24">
        <v>318663</v>
      </c>
      <c r="C38" s="25" t="str">
        <f>+VLOOKUP(B38,cennik!$A:$G,2,FALSE)</f>
        <v>SEVROLL tlmič Central 10/18mm obojst. 25 kg</v>
      </c>
      <c r="D38" s="387"/>
      <c r="E38" s="92">
        <f>+VLOOKUP(B38,cennik!$A:$G,3,FALSE)</f>
        <v>47.918750000000003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5"/>
      <c r="L38" s="6"/>
    </row>
    <row r="39" spans="1:12" ht="12.75" customHeight="1">
      <c r="A39" s="436" t="str">
        <f>texty!$A$232</f>
        <v> Tlmič pre stredné krídlo do 40 kg</v>
      </c>
      <c r="B39" s="24">
        <v>283955</v>
      </c>
      <c r="C39" s="25" t="str">
        <f>+VLOOKUP(B39,cennik!$A:$G,2,FALSE)</f>
        <v>SEVROLL tlmič Central 10/18mm obojst.25-40kg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5"/>
      <c r="L39" s="6"/>
    </row>
    <row r="40" spans="1:12" ht="12.75" customHeight="1">
      <c r="A40" s="7" t="str">
        <f>texty!$A$97</f>
        <v>tlmič dorazu (pár) 25 kg</v>
      </c>
      <c r="B40" s="24">
        <v>227185</v>
      </c>
      <c r="C40" s="38" t="str">
        <f>+VLOOKUP(B40,cennik!$A:$G,2,FALSE)</f>
        <v>K-SEVROLL tlmič dorazu 10/18mm 14-25kg(L+P)</v>
      </c>
      <c r="D40" s="29"/>
      <c r="E40" s="219">
        <f>+VLOOKUP(B40,cennik!$A:$G,3,FALSE)</f>
        <v>0</v>
      </c>
      <c r="F40" s="106">
        <f>+E40*D40</f>
        <v>0</v>
      </c>
      <c r="G40" s="105">
        <f t="shared" si="2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5"/>
      <c r="L40" s="6"/>
    </row>
    <row r="41" spans="1:12" ht="12.75" customHeight="1">
      <c r="A41" s="7" t="str">
        <f>texty!$A$98</f>
        <v>tlmič dorazu (pár) 50 kg</v>
      </c>
      <c r="B41" s="24">
        <v>227187</v>
      </c>
      <c r="C41" s="38" t="str">
        <f>+VLOOKUP(B41,cennik!$A:$G,2,FALSE)</f>
        <v>K-SEVROLL tlmič dorazu 10/18mm 25-50kg(L+P)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5"/>
      <c r="L41" s="3"/>
    </row>
    <row r="42" spans="1:12" ht="12.75" customHeight="1">
      <c r="A42" s="7" t="str">
        <f>texty!$A$196</f>
        <v>Spona dorazovej kefky</v>
      </c>
      <c r="B42" s="16">
        <v>223569</v>
      </c>
      <c r="C42" s="38" t="str">
        <f>+VLOOKUP(B42,cennik!$A:$G,2,FALSE)</f>
        <v>SEVROLL spona dorazového kartáča</v>
      </c>
      <c r="D42" s="29"/>
      <c r="E42" s="219">
        <f>+VLOOKUP(B42,cennik!$A:$G,3,FALSE)</f>
        <v>7.399E-2</v>
      </c>
      <c r="F42" s="106">
        <f t="shared" si="3"/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5"/>
      <c r="L42" s="3"/>
    </row>
    <row r="43" spans="1:12" ht="12.75" customHeight="1">
      <c r="A43" s="146" t="str">
        <f>texty!$A$114</f>
        <v>spojovací profil H18-3metre</v>
      </c>
      <c r="B43" s="16">
        <f>+VLOOKUP($P$7,data!$C$463:$D$472,2,0)</f>
        <v>89010</v>
      </c>
      <c r="C43" s="38" t="str">
        <f>+VLOOKUP(B43,cennik!$A:$G,2,FALSE)</f>
        <v>SEVROLL spojovacia lišta H18 3m strieborná</v>
      </c>
      <c r="D43" s="29"/>
      <c r="E43" s="219">
        <f>+VLOOKUP(B43,cennik!$A:$G,3,FALSE)</f>
        <v>13.89648</v>
      </c>
      <c r="F43" s="106">
        <f t="shared" si="3"/>
        <v>0</v>
      </c>
      <c r="G43" s="105">
        <f t="shared" si="2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5"/>
      <c r="L43" s="3"/>
    </row>
    <row r="44" spans="1:12" ht="12.75" customHeight="1">
      <c r="A44" s="146" t="str">
        <f>texty!$A$115</f>
        <v>spojovací T profil - 3metre /s drážkou/</v>
      </c>
      <c r="B44" s="16">
        <f>+VLOOKUP($P$7,data!$C$473:$D$482,2,0)</f>
        <v>89188</v>
      </c>
      <c r="C44" s="38" t="str">
        <f>IF(B44=data!$D$54,texty!$A$239,+VLOOKUP(B44,cennik!$A$3:$G$907,2,FALSE))</f>
        <v>SEVROLL spojovaciá lišta "T" 3m strieborná</v>
      </c>
      <c r="D44" s="29"/>
      <c r="E44" s="92">
        <f>IF(B44=data!$D$63,0,+VLOOKUP(B44,cennik!$A$3:$G$907,3,FALSE))</f>
        <v>10.629860000000001</v>
      </c>
      <c r="F44" s="92">
        <f t="shared" si="3"/>
        <v>0</v>
      </c>
      <c r="G44" s="105">
        <f t="shared" si="2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5"/>
      <c r="L44" s="3"/>
    </row>
    <row r="45" spans="1:12" ht="12.75" customHeight="1">
      <c r="A45" s="146" t="str">
        <f>texty!$A$116</f>
        <v>spojovací T profil - 3metre /s lemom/</v>
      </c>
      <c r="B45" s="16">
        <f>+VLOOKUP($P$7,data!$C$483:$D$492,2,0)</f>
        <v>89013</v>
      </c>
      <c r="C45" s="38" t="str">
        <f>IF(B45=data!$D$54,texty!$A$239,+VLOOKUP(B45,cennik!$A$3:$G$907,2,FALSE))</f>
        <v>SEVROLL spojovacia lišta T Decor 3m striebor</v>
      </c>
      <c r="D45" s="29"/>
      <c r="E45" s="92">
        <f>IF(B45=data!$D$63,0,+VLOOKUP(B45,cennik!$A$3:$G$907,3,FALSE))</f>
        <v>9.5692900000000005</v>
      </c>
      <c r="F45" s="92">
        <f t="shared" si="3"/>
        <v>0</v>
      </c>
      <c r="G45" s="105">
        <f t="shared" si="2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5"/>
      <c r="L45" s="3"/>
    </row>
    <row r="46" spans="1:12" ht="12.75" customHeight="1">
      <c r="A46" s="146" t="str">
        <f>texty!$A$117</f>
        <v>"U" profil na DTD 18mm - 3 metre /hladký/</v>
      </c>
      <c r="B46" s="6">
        <f>+VLOOKUP($P$7,data!$C$493:$D$502,2,0)</f>
        <v>89269</v>
      </c>
      <c r="C46" s="38" t="str">
        <f>+VLOOKUP(B46,cennik!$A:$G,2,FALSE)</f>
        <v>SEVROLL profil "U" pre DTD 18mm 3m striebor</v>
      </c>
      <c r="D46" s="29"/>
      <c r="E46" s="219">
        <f>+VLOOKUP(B46,cennik!$A:$G,3,FALSE)</f>
        <v>5.0618400000000001</v>
      </c>
      <c r="F46" s="106">
        <f t="shared" si="3"/>
        <v>0</v>
      </c>
      <c r="G46" s="105">
        <f t="shared" si="2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5"/>
      <c r="L46" s="3"/>
    </row>
    <row r="47" spans="1:12" ht="12.75" customHeight="1">
      <c r="A47" s="146" t="str">
        <f>texty!$A$118</f>
        <v>"U" profil na DTD 18mm - 3 metre /lem/</v>
      </c>
      <c r="B47" s="16">
        <f>+VLOOKUP($P$7,data!$C$502:$D$512,2,0)</f>
        <v>89016</v>
      </c>
      <c r="C47" s="38" t="str">
        <f>IF(B47=data!$D$54,texty!$A$239,+VLOOKUP(B47,cennik!$A$3:$G$907,2,FALSE))</f>
        <v>SEVROLL profil "U" Decor 18mm 3m strieborná</v>
      </c>
      <c r="D47" s="29"/>
      <c r="E47" s="92">
        <f>IF(B47=data!$D$63,0,+VLOOKUP(B47,cennik!$A$3:$G$907,3,FALSE))</f>
        <v>7.1588900000000004</v>
      </c>
      <c r="F47" s="92">
        <f t="shared" si="3"/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5"/>
      <c r="L47" s="3"/>
    </row>
    <row r="48" spans="1:12" ht="12.75" customHeight="1">
      <c r="A48" s="146" t="str">
        <f>texty!$A$119</f>
        <v>uholník mini 11x17mm - 1,7m</v>
      </c>
      <c r="B48" s="6">
        <f>+VLOOKUP($P$7,data!$C$513:$D$522,2,0)</f>
        <v>89134</v>
      </c>
      <c r="C48" s="38" t="str">
        <f>IF(B48=data!$D$54,texty!$A$239,+VLOOKUP(B48,cennik!$A$3:$G$907,2,FALSE))</f>
        <v>SEVROLL-182 UHOLNÍK 17*11 STRIEBOR. 1,7M</v>
      </c>
      <c r="D48" s="29"/>
      <c r="E48" s="92">
        <f>IF(B48=data!$D$63,0,+VLOOKUP(B48,cennik!$A$3:$G$907,3,FALSE))</f>
        <v>2.5309200000000001</v>
      </c>
      <c r="F48" s="92">
        <f>+E48*D48</f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5"/>
      <c r="L48" s="6"/>
    </row>
    <row r="49" spans="1:14" ht="12.75" customHeight="1">
      <c r="A49" s="146" t="str">
        <f>texty!$A$120</f>
        <v>uholník mini 11x17mm - 2,35m</v>
      </c>
      <c r="B49" s="6">
        <f>+VLOOKUP($P$7,data!$C$523:$D$532,2,0)</f>
        <v>89137</v>
      </c>
      <c r="C49" s="38" t="str">
        <f>IF(B49=data!$D$54,texty!$A$239,+VLOOKUP(B49,cennik!$A$3:$G$907,2,FALSE))</f>
        <v>SEVROLL-183 UHOLNÍK 17*11 STRIEBOR. 2,35</v>
      </c>
      <c r="D49" s="29"/>
      <c r="E49" s="92">
        <f>IF(B49=data!$D$63,0,+VLOOKUP(B49,cennik!$A$3:$G$907,3,FALSE))</f>
        <v>3.5673900000000001</v>
      </c>
      <c r="F49" s="92">
        <f>+E49*D49</f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5"/>
      <c r="L49" s="6"/>
    </row>
    <row r="50" spans="1:14" ht="12.75" customHeight="1">
      <c r="A50" s="146" t="str">
        <f>texty!$A$121</f>
        <v>uholník mini 11x17mm - 3m</v>
      </c>
      <c r="B50" s="15">
        <f>+VLOOKUP($P$7,data!$C$533:$D$542,2,0)</f>
        <v>89140</v>
      </c>
      <c r="C50" s="38" t="str">
        <f>IF(B50=data!$D$54,texty!$A$239,+VLOOKUP(B50,cennik!$A$3:$G$907,2,FALSE))</f>
        <v>SEVROLL-184 UHOLNÍK 17*11 STRIEBOR. 3M</v>
      </c>
      <c r="D50" s="29"/>
      <c r="E50" s="92">
        <f>IF(B50=data!$D$63,0,+VLOOKUP(B50,cennik!$A$3:$G$907,3,FALSE))</f>
        <v>4.4833400000000001</v>
      </c>
      <c r="F50" s="92">
        <f>+E50*D50</f>
        <v>0</v>
      </c>
      <c r="G50" s="105">
        <f t="shared" si="2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5"/>
    </row>
    <row r="51" spans="1:14" ht="12.75" customHeight="1">
      <c r="A51" s="146" t="str">
        <f>texty!$A$122</f>
        <v>uholník K2 19x18mm - 1,7m</v>
      </c>
      <c r="B51" s="24">
        <f>+VLOOKUP($P$7,data!$C$543:$D$552,2,0)</f>
        <v>89050</v>
      </c>
      <c r="C51" s="38" t="str">
        <f>IF(B51=data!$D$54,texty!$A$239,+VLOOKUP(B51,cennik!$A$3:$G$907,2,FALSE))</f>
        <v>SEVROLL-278 UHOLNÍK K2 1,70M STRIEBORNÁ</v>
      </c>
      <c r="D51" s="29"/>
      <c r="E51" s="92">
        <f>IF(B51=data!$D$63,0,+VLOOKUP(B51,cennik!$A$3:$G$907,3,FALSE))</f>
        <v>3.7843300000000002</v>
      </c>
      <c r="F51" s="92">
        <f>+E51*D51</f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5"/>
      <c r="L51" s="6"/>
    </row>
    <row r="52" spans="1:14" ht="12.75" customHeight="1">
      <c r="A52" s="146" t="str">
        <f>texty!$A$123</f>
        <v>uholník K2 19x18mm - 2,35m</v>
      </c>
      <c r="B52" s="16">
        <f>+VLOOKUP($P$7,data!$C$553:$D$562,2,0)</f>
        <v>89053</v>
      </c>
      <c r="C52" s="38" t="str">
        <f>IF(B52=data!$D$54,texty!$A$239,+VLOOKUP(B52,cennik!$A$3:$G$907,2,FALSE))</f>
        <v>SEVROLL uholník K2 Decor 2,35m strieborná</v>
      </c>
      <c r="D52" s="30"/>
      <c r="E52" s="92">
        <f>IF(B52=data!$D$63,0,+VLOOKUP(B52,cennik!$A$3:$G$907,3,FALSE))</f>
        <v>5.25467</v>
      </c>
      <c r="F52" s="92">
        <f t="shared" si="3"/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5"/>
      <c r="L52" s="6"/>
    </row>
    <row r="53" spans="1:14" ht="12.75" customHeight="1">
      <c r="A53" s="146" t="str">
        <f>texty!$A$124</f>
        <v>uholník K2 19x18mm - 3,00m</v>
      </c>
      <c r="B53" s="16">
        <f>+VLOOKUP($P$7,data!$C$563:$D$572,2,0)</f>
        <v>89056</v>
      </c>
      <c r="C53" s="38" t="str">
        <f>IF(B53=data!$D$54,texty!$A$239,+VLOOKUP(B53,cennik!$A$3:$G$907,2,FALSE))</f>
        <v>SEVROLL uholník K2 Decor 3m strieborná</v>
      </c>
      <c r="D53" s="30"/>
      <c r="E53" s="92">
        <f>IF(B53=data!$D$63,0,+VLOOKUP(B53,cennik!$A$3:$G$907,3,FALSE))</f>
        <v>6.7009100000000004</v>
      </c>
      <c r="F53" s="92">
        <f t="shared" si="3"/>
        <v>0</v>
      </c>
      <c r="G53" s="105">
        <f t="shared" si="2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5"/>
      <c r="L53" s="6"/>
    </row>
    <row r="54" spans="1:14" ht="12.75" customHeight="1">
      <c r="A54" s="436" t="str">
        <f>texty!$A$240</f>
        <v>zámok posuvných dverí</v>
      </c>
      <c r="B54" s="24">
        <v>216363</v>
      </c>
      <c r="C54" s="38" t="str">
        <f>+VLOOKUP(B54,cennik!$A:$G,2,FALSE)</f>
        <v>SEVROLL zámok na posuvné dvere 18 mm</v>
      </c>
      <c r="D54" s="29"/>
      <c r="E54" s="219">
        <f>+VLOOKUP(B54,cennik!$A:$G,3,FALSE)</f>
        <v>17.186150000000001</v>
      </c>
      <c r="F54" s="106">
        <f t="shared" si="3"/>
        <v>0</v>
      </c>
      <c r="G54" s="105">
        <f t="shared" si="2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5"/>
      <c r="L54" s="6"/>
    </row>
    <row r="55" spans="1:14" ht="12.75" customHeight="1">
      <c r="A55" s="7" t="str">
        <f>texty!$A$112</f>
        <v>protiprachový kartáč samolepiaci</v>
      </c>
      <c r="B55" s="24">
        <v>308639</v>
      </c>
      <c r="C55" s="25" t="str">
        <f>+VLOOKUP(B55,cennik!$A:$G,2,FALSE)</f>
        <v>SEVROLL protiprachový kartáč samolep. 6,7x13mm</v>
      </c>
      <c r="D55" s="29"/>
      <c r="E55" s="219">
        <f>+VLOOKUP(B55,cennik!$A:$G,3,FALSE)</f>
        <v>0.28210000000000002</v>
      </c>
      <c r="F55" s="106">
        <f t="shared" si="3"/>
        <v>0</v>
      </c>
      <c r="G55" s="105">
        <f t="shared" si="2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5"/>
      <c r="L55" s="6"/>
    </row>
    <row r="56" spans="1:14" ht="12.75" customHeight="1">
      <c r="A56" s="7"/>
      <c r="B56" s="24"/>
      <c r="C56" s="25"/>
      <c r="D56" s="219"/>
      <c r="E56" s="219"/>
      <c r="F56" s="106"/>
      <c r="G56" s="105"/>
      <c r="H56" s="6"/>
      <c r="I56" s="186"/>
      <c r="J56" s="196"/>
      <c r="K56" s="5"/>
      <c r="L56" s="6"/>
    </row>
    <row r="57" spans="1:14" ht="16">
      <c r="A57" s="285" t="str">
        <f>texty!$A$190</f>
        <v>Ďalšie príslušenstvo</v>
      </c>
      <c r="B57" s="286"/>
      <c r="C57" s="286"/>
      <c r="D57" s="286"/>
      <c r="E57" s="286"/>
      <c r="F57" s="286"/>
      <c r="G57" s="286"/>
      <c r="H57" s="286"/>
      <c r="I57" s="286"/>
      <c r="J57" s="286"/>
      <c r="K57" s="135"/>
      <c r="L57" s="6"/>
    </row>
    <row r="58" spans="1:14" ht="12.75" customHeight="1">
      <c r="A58" s="285" t="str">
        <f>texty!$A$244</f>
        <v>Technický nákres tohoto systému</v>
      </c>
      <c r="C58" s="40"/>
      <c r="D58" s="79" t="str">
        <f>+Faworyt!D61</f>
        <v>CELKOM  (bez DPH)</v>
      </c>
      <c r="E58" s="116"/>
      <c r="F58" s="117">
        <f>SUM(F24:F55)</f>
        <v>76.795349999999999</v>
      </c>
      <c r="G58" s="117">
        <f>SUM(G24:G55)</f>
        <v>76.795349999999999</v>
      </c>
      <c r="H58" s="6" t="str">
        <f>cennik!$B$2</f>
        <v>EUR</v>
      </c>
      <c r="I58" s="5"/>
      <c r="L58" s="6"/>
    </row>
    <row r="59" spans="1:14" ht="12.75" customHeight="1">
      <c r="A59" s="76" t="str">
        <f>System10!$A$67</f>
        <v>Vaša poznámka:</v>
      </c>
      <c r="B59" s="670"/>
      <c r="C59" s="671"/>
      <c r="D59" s="671"/>
      <c r="E59" s="671"/>
      <c r="F59" s="671"/>
      <c r="G59" s="672"/>
      <c r="H59" s="6"/>
      <c r="L59" s="6"/>
    </row>
    <row r="60" spans="1:14" ht="12.75" customHeight="1">
      <c r="A60" s="668">
        <f>profil!$U$15</f>
        <v>0</v>
      </c>
      <c r="B60" s="658"/>
      <c r="C60" s="658"/>
      <c r="D60" s="658"/>
      <c r="E60" s="658"/>
      <c r="F60" s="658"/>
      <c r="G60" s="658"/>
      <c r="H60" s="658"/>
      <c r="L60" s="6"/>
    </row>
    <row r="61" spans="1:14" ht="12.75" customHeight="1">
      <c r="A61" s="659" t="str">
        <f>IF(N61=1,texty!$A$215,IF(J61&gt;0,texty!$A$214,""))</f>
        <v/>
      </c>
      <c r="B61" s="659"/>
      <c r="C61" s="659"/>
      <c r="D61" s="659"/>
      <c r="E61" s="659"/>
      <c r="F61" s="659"/>
      <c r="G61" s="659"/>
      <c r="H61" s="659"/>
      <c r="J61" s="6">
        <f>SUM(J24:J55)</f>
        <v>0</v>
      </c>
      <c r="L61" s="6"/>
      <c r="N61" s="5">
        <f>IF(ISERROR(J61),1,0)</f>
        <v>0</v>
      </c>
    </row>
    <row r="62" spans="1:14" ht="12.75" customHeight="1">
      <c r="A62" s="64"/>
      <c r="J62" s="49"/>
      <c r="L62" s="6"/>
    </row>
    <row r="63" spans="1:14" ht="12.75" customHeight="1">
      <c r="L63" s="5" t="str">
        <f>texty!A128</f>
        <v xml:space="preserve">strieborná </v>
      </c>
      <c r="M63" s="21" t="s">
        <v>2884</v>
      </c>
    </row>
    <row r="64" spans="1:14" ht="12.75" customHeight="1">
      <c r="L64" s="5" t="str">
        <f>texty!A130</f>
        <v>oliva</v>
      </c>
      <c r="M64" s="21" t="s">
        <v>45</v>
      </c>
    </row>
    <row r="65" ht="12.75" customHeight="1"/>
    <row r="66" ht="12.75" customHeight="1"/>
    <row r="67" ht="12.75" customHeight="1"/>
  </sheetData>
  <sheetProtection algorithmName="SHA-512" hashValue="B1YLbD5/760Vhl7iiEoMPemlxmQdeCIBLENio5Bx9TP7gvr4auQCk6ZPDfZwEgALA46DjIZtVIjKf6yBglMyxA==" saltValue="L1wJV4qr0g92qH1yO8Q8IQ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2"/>
  </mergeCells>
  <conditionalFormatting sqref="D6">
    <cfRule type="expression" dxfId="81" priority="7">
      <formula>$D$4=4</formula>
    </cfRule>
    <cfRule type="expression" dxfId="80" priority="8">
      <formula>$D$4&lt;&gt;4</formula>
    </cfRule>
  </conditionalFormatting>
  <conditionalFormatting sqref="G4">
    <cfRule type="expression" dxfId="79" priority="6">
      <formula>$D$4=4</formula>
    </cfRule>
  </conditionalFormatting>
  <conditionalFormatting sqref="I15:I16">
    <cfRule type="expression" dxfId="78" priority="4">
      <formula>$F$4=$M$64</formula>
    </cfRule>
  </conditionalFormatting>
  <conditionalFormatting sqref="I17:I18">
    <cfRule type="expression" dxfId="77" priority="5">
      <formula>$F$4=$M$63</formula>
    </cfRule>
  </conditionalFormatting>
  <conditionalFormatting sqref="A11">
    <cfRule type="expression" dxfId="76" priority="3">
      <formula>SUM($D$38:$D$39)&gt;0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:F6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D0FDF8E-4E6E-4571-B178-52E341239EBE}">
            <xm:f>$I24=texty!$A$250</xm:f>
            <x14:dxf>
              <font>
                <color rgb="FFFF0000"/>
              </font>
            </x14:dxf>
          </x14:cfRule>
          <xm:sqref>I24:I55</xm:sqref>
        </x14:conditionalFormatting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A24:H55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AA320"/>
  <sheetViews>
    <sheetView showGridLines="0" tabSelected="1" zoomScale="85" zoomScaleNormal="85" workbookViewId="0">
      <selection activeCell="C7" sqref="C7:Q7"/>
    </sheetView>
  </sheetViews>
  <sheetFormatPr baseColWidth="10" defaultColWidth="0" defaultRowHeight="15" customHeight="1" zeroHeight="1"/>
  <cols>
    <col min="1" max="1" width="3.164062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640625" style="1" customWidth="1"/>
    <col min="7" max="7" width="3.5" style="1" customWidth="1"/>
    <col min="8" max="8" width="11.6640625" style="1" customWidth="1"/>
    <col min="9" max="9" width="3.5" style="1" customWidth="1"/>
    <col min="10" max="10" width="11.6640625" style="1" customWidth="1"/>
    <col min="11" max="11" width="3.1640625" style="1" customWidth="1"/>
    <col min="12" max="12" width="11.6640625" style="1" customWidth="1"/>
    <col min="13" max="13" width="3.1640625" style="1" customWidth="1"/>
    <col min="14" max="14" width="11.6640625" style="1" customWidth="1"/>
    <col min="15" max="15" width="3" style="1" customWidth="1"/>
    <col min="16" max="16" width="11.6640625" style="1" customWidth="1"/>
    <col min="17" max="17" width="3.1640625" style="1" customWidth="1"/>
    <col min="18" max="18" width="5.5" style="1" hidden="1" customWidth="1"/>
    <col min="19" max="19" width="3.5" style="1" hidden="1" customWidth="1"/>
    <col min="20" max="20" width="13.83203125" style="1" hidden="1" customWidth="1"/>
    <col min="21" max="22" width="8.6640625" style="1" hidden="1" customWidth="1"/>
    <col min="23" max="16384" width="9.1640625" style="1" hidden="1"/>
  </cols>
  <sheetData>
    <row r="1" spans="1:21" ht="15" customHeight="1">
      <c r="A1" s="600" t="str">
        <f>texty!A22</f>
        <v>KOVANIE NA VSTAVANÉ SKRINE:</v>
      </c>
      <c r="B1" s="601"/>
      <c r="C1" s="601"/>
      <c r="D1" s="601"/>
      <c r="E1" s="601"/>
      <c r="F1" s="601"/>
      <c r="G1" s="601"/>
      <c r="H1" s="601"/>
      <c r="I1" s="601"/>
      <c r="J1" s="361"/>
      <c r="K1" s="361"/>
      <c r="L1" s="361"/>
      <c r="M1" s="361"/>
      <c r="N1" s="361"/>
      <c r="O1" s="361"/>
      <c r="P1" s="361"/>
      <c r="Q1" s="362"/>
    </row>
    <row r="2" spans="1:21" ht="15" customHeight="1">
      <c r="A2" s="602"/>
      <c r="B2" s="603"/>
      <c r="C2" s="603"/>
      <c r="D2" s="603"/>
      <c r="E2" s="603"/>
      <c r="F2" s="603"/>
      <c r="G2" s="603"/>
      <c r="H2" s="603"/>
      <c r="I2" s="603"/>
      <c r="J2" s="31"/>
      <c r="K2" s="31"/>
      <c r="L2" s="31"/>
      <c r="M2" s="31"/>
      <c r="N2" s="31"/>
      <c r="O2" s="31"/>
      <c r="P2" s="31"/>
      <c r="Q2" s="32"/>
    </row>
    <row r="3" spans="1:21" ht="28.5" customHeight="1" thickBot="1">
      <c r="A3" s="604"/>
      <c r="B3" s="605"/>
      <c r="C3" s="605"/>
      <c r="D3" s="605"/>
      <c r="E3" s="605"/>
      <c r="F3" s="605"/>
      <c r="G3" s="605"/>
      <c r="H3" s="605"/>
      <c r="I3" s="605"/>
      <c r="J3" s="33"/>
      <c r="K3" s="33"/>
      <c r="L3" s="33"/>
      <c r="M3" s="33"/>
      <c r="N3" s="33"/>
      <c r="O3" s="33"/>
      <c r="P3" s="33"/>
      <c r="Q3" s="34"/>
    </row>
    <row r="4" spans="1:21" ht="15" customHeight="1">
      <c r="A4" s="363"/>
      <c r="B4" s="246"/>
      <c r="C4" s="246"/>
      <c r="D4" s="246"/>
      <c r="E4" s="246"/>
      <c r="F4" s="246"/>
      <c r="G4" s="246"/>
      <c r="H4" s="246"/>
      <c r="I4" s="246"/>
      <c r="J4" s="31"/>
      <c r="K4" s="31"/>
      <c r="L4" s="31"/>
      <c r="M4" s="31"/>
      <c r="N4" s="31"/>
      <c r="O4" s="31"/>
      <c r="P4" s="31"/>
      <c r="Q4" s="32"/>
    </row>
    <row r="5" spans="1:21" ht="19.5" customHeight="1">
      <c r="A5" s="606" t="str">
        <f>texty!A23</f>
        <v>Zákazník:</v>
      </c>
      <c r="B5" s="607"/>
      <c r="C5" s="607"/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8"/>
    </row>
    <row r="6" spans="1:21" ht="3" customHeight="1" thickBot="1">
      <c r="A6" s="364"/>
      <c r="B6" s="247"/>
      <c r="C6" s="246"/>
      <c r="D6" s="246"/>
      <c r="E6" s="246"/>
      <c r="F6" s="246"/>
      <c r="G6" s="246"/>
      <c r="H6" s="246"/>
      <c r="I6" s="246"/>
      <c r="J6" s="31"/>
      <c r="K6" s="31"/>
      <c r="L6" s="31"/>
      <c r="M6" s="31"/>
      <c r="N6" s="31"/>
      <c r="O6" s="31"/>
      <c r="P6" s="31"/>
      <c r="Q6" s="32"/>
    </row>
    <row r="7" spans="1:21" ht="19.5" customHeight="1" thickBot="1">
      <c r="A7" s="609" t="str">
        <f>texty!A24</f>
        <v>Názov:</v>
      </c>
      <c r="B7" s="610"/>
      <c r="C7" s="611"/>
      <c r="D7" s="612"/>
      <c r="E7" s="612"/>
      <c r="F7" s="612"/>
      <c r="G7" s="612"/>
      <c r="H7" s="612"/>
      <c r="I7" s="612"/>
      <c r="J7" s="612"/>
      <c r="K7" s="612"/>
      <c r="L7" s="612"/>
      <c r="M7" s="613"/>
      <c r="N7" s="613"/>
      <c r="O7" s="613"/>
      <c r="P7" s="613"/>
      <c r="Q7" s="614"/>
      <c r="T7" s="1" t="str">
        <f>CONCATENATE(texty!A23,C7,", ",C9,", ",C11,texty!A27,+C13)</f>
        <v>Zákazník:, , IČO:</v>
      </c>
    </row>
    <row r="8" spans="1:21" ht="3" customHeight="1" thickBot="1">
      <c r="A8" s="364"/>
      <c r="B8" s="247"/>
      <c r="C8" s="246"/>
      <c r="D8" s="246"/>
      <c r="E8" s="246"/>
      <c r="F8" s="246"/>
      <c r="G8" s="246"/>
      <c r="H8" s="246"/>
      <c r="I8" s="246"/>
      <c r="J8" s="31"/>
      <c r="K8" s="31"/>
      <c r="L8" s="31"/>
      <c r="M8" s="31"/>
      <c r="N8" s="31"/>
      <c r="O8" s="31"/>
      <c r="P8" s="31"/>
      <c r="Q8" s="32"/>
    </row>
    <row r="9" spans="1:21" ht="19.5" customHeight="1" thickBot="1">
      <c r="A9" s="609" t="str">
        <f>texty!A25</f>
        <v>Ulica:</v>
      </c>
      <c r="B9" s="610"/>
      <c r="C9" s="611"/>
      <c r="D9" s="612"/>
      <c r="E9" s="612"/>
      <c r="F9" s="612"/>
      <c r="G9" s="612"/>
      <c r="H9" s="612"/>
      <c r="I9" s="612"/>
      <c r="J9" s="612"/>
      <c r="K9" s="612"/>
      <c r="L9" s="612"/>
      <c r="M9" s="613"/>
      <c r="N9" s="613"/>
      <c r="O9" s="613"/>
      <c r="P9" s="613"/>
      <c r="Q9" s="614"/>
    </row>
    <row r="10" spans="1:21" ht="3" customHeight="1" thickBot="1">
      <c r="A10" s="364"/>
      <c r="B10" s="247"/>
      <c r="C10" s="246"/>
      <c r="D10" s="246"/>
      <c r="E10" s="246"/>
      <c r="F10" s="246"/>
      <c r="G10" s="246"/>
      <c r="H10" s="246"/>
      <c r="I10" s="246"/>
      <c r="J10" s="31"/>
      <c r="K10" s="31"/>
      <c r="L10" s="31"/>
      <c r="M10" s="31"/>
      <c r="N10" s="31"/>
      <c r="O10" s="31"/>
      <c r="P10" s="31"/>
      <c r="Q10" s="32"/>
    </row>
    <row r="11" spans="1:21" ht="19.5" customHeight="1" thickBot="1">
      <c r="A11" s="609" t="str">
        <f>texty!A26</f>
        <v>Mesto, PSČ:</v>
      </c>
      <c r="B11" s="610"/>
      <c r="C11" s="611"/>
      <c r="D11" s="612"/>
      <c r="E11" s="612"/>
      <c r="F11" s="612"/>
      <c r="G11" s="612"/>
      <c r="H11" s="612"/>
      <c r="I11" s="612"/>
      <c r="J11" s="612"/>
      <c r="K11" s="612"/>
      <c r="L11" s="612"/>
      <c r="M11" s="613"/>
      <c r="N11" s="613"/>
      <c r="O11" s="613"/>
      <c r="P11" s="613"/>
      <c r="Q11" s="614"/>
    </row>
    <row r="12" spans="1:21" ht="3" customHeight="1" thickBot="1">
      <c r="A12" s="364"/>
      <c r="B12" s="247"/>
      <c r="C12" s="246"/>
      <c r="D12" s="246"/>
      <c r="E12" s="246"/>
      <c r="F12" s="246"/>
      <c r="G12" s="246"/>
      <c r="H12" s="246"/>
      <c r="I12" s="246"/>
      <c r="J12" s="31"/>
      <c r="K12" s="31"/>
      <c r="L12" s="31"/>
      <c r="M12" s="31"/>
      <c r="N12" s="31"/>
      <c r="O12" s="31"/>
      <c r="P12" s="31"/>
      <c r="Q12" s="32"/>
    </row>
    <row r="13" spans="1:21" ht="19.5" customHeight="1" thickBot="1">
      <c r="A13" s="629" t="str">
        <f>texty!A27</f>
        <v>IČO:</v>
      </c>
      <c r="B13" s="610"/>
      <c r="C13" s="611"/>
      <c r="D13" s="612"/>
      <c r="E13" s="612"/>
      <c r="F13" s="612"/>
      <c r="G13" s="612"/>
      <c r="H13" s="612"/>
      <c r="I13" s="612"/>
      <c r="J13" s="612"/>
      <c r="K13" s="612"/>
      <c r="L13" s="612"/>
      <c r="M13" s="613"/>
      <c r="N13" s="613"/>
      <c r="O13" s="613"/>
      <c r="P13" s="613"/>
      <c r="Q13" s="614"/>
    </row>
    <row r="14" spans="1:21" ht="3" customHeight="1" thickBot="1">
      <c r="A14" s="364"/>
      <c r="B14" s="247"/>
      <c r="C14" s="247"/>
      <c r="D14" s="247"/>
      <c r="E14" s="247"/>
      <c r="F14" s="247"/>
      <c r="G14" s="246"/>
      <c r="H14" s="246"/>
      <c r="I14" s="246"/>
      <c r="J14" s="31"/>
      <c r="K14" s="31"/>
      <c r="L14" s="31"/>
      <c r="M14" s="31"/>
      <c r="N14" s="31"/>
      <c r="O14" s="31"/>
      <c r="P14" s="31"/>
      <c r="Q14" s="32"/>
    </row>
    <row r="15" spans="1:21" ht="19.5" customHeight="1" thickBot="1">
      <c r="A15" s="629" t="str">
        <f>texty!A28</f>
        <v>Zľava:</v>
      </c>
      <c r="B15" s="630"/>
      <c r="C15" s="631"/>
      <c r="D15" s="632"/>
      <c r="E15" s="248" t="s">
        <v>70</v>
      </c>
      <c r="F15" s="249" t="str">
        <f>texty!A29</f>
        <v>Poznámka:</v>
      </c>
      <c r="G15" s="633"/>
      <c r="H15" s="634"/>
      <c r="I15" s="634"/>
      <c r="J15" s="634"/>
      <c r="K15" s="634"/>
      <c r="L15" s="634"/>
      <c r="M15" s="635"/>
      <c r="N15" s="635"/>
      <c r="O15" s="635"/>
      <c r="P15" s="635"/>
      <c r="Q15" s="636"/>
      <c r="T15" s="1">
        <f>C15</f>
        <v>0</v>
      </c>
      <c r="U15" s="1">
        <f>G15</f>
        <v>0</v>
      </c>
    </row>
    <row r="16" spans="1:21" ht="22.5" customHeight="1" thickBot="1">
      <c r="A16" s="617" t="str">
        <f>texty!A69</f>
        <v>Systémy:    Vzorkovník profilov objednávajte pod kódom 180245 + 458673</v>
      </c>
      <c r="B16" s="618"/>
      <c r="C16" s="618"/>
      <c r="D16" s="618"/>
      <c r="E16" s="618"/>
      <c r="F16" s="618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20"/>
    </row>
    <row r="17" spans="1:17" s="236" customFormat="1" ht="24.75" customHeight="1">
      <c r="A17" s="625" t="str">
        <f>texty!A31</f>
        <v>Výplň tl. 4 mm ( sklo lebo zrkadlo) - rámové dvere</v>
      </c>
      <c r="B17" s="626"/>
      <c r="C17" s="626"/>
      <c r="D17" s="626"/>
      <c r="E17" s="626"/>
      <c r="F17" s="626"/>
      <c r="G17" s="626"/>
      <c r="H17" s="626"/>
      <c r="I17" s="626"/>
      <c r="J17" s="626"/>
      <c r="K17" s="626"/>
      <c r="L17" s="626"/>
      <c r="M17" s="627"/>
      <c r="N17" s="627"/>
      <c r="O17" s="627"/>
      <c r="P17" s="627"/>
      <c r="Q17" s="628"/>
    </row>
    <row r="18" spans="1:17" ht="17" customHeight="1" thickBot="1">
      <c r="A18" s="310"/>
      <c r="B18" s="422" t="str">
        <f>texty!A58</f>
        <v>výška až 3 m!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6"/>
    </row>
    <row r="19" spans="1:17" ht="107.25" customHeight="1" thickBot="1">
      <c r="A19" s="310"/>
      <c r="B19" s="368"/>
      <c r="C19" s="305"/>
      <c r="D19" s="307"/>
      <c r="E19" s="305"/>
      <c r="F19" s="307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6"/>
    </row>
    <row r="20" spans="1:17" ht="24" customHeight="1">
      <c r="A20" s="310"/>
      <c r="B20" s="421" t="s">
        <v>1452</v>
      </c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6"/>
    </row>
    <row r="21" spans="1:17" ht="15" customHeight="1" thickBot="1">
      <c r="A21" s="311"/>
      <c r="B21" s="312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9"/>
    </row>
    <row r="22" spans="1:17" ht="24.75" customHeight="1">
      <c r="A22" s="621" t="str">
        <f>texty!A30</f>
        <v>Výplň tl. 10mm(lebo sklo/zrkadlo s použitím tesnenia - hr.4 alebo 6mm) - rámové dvere</v>
      </c>
      <c r="B22" s="622"/>
      <c r="C22" s="622"/>
      <c r="D22" s="622"/>
      <c r="E22" s="622"/>
      <c r="F22" s="622"/>
      <c r="G22" s="622"/>
      <c r="H22" s="622"/>
      <c r="I22" s="622"/>
      <c r="J22" s="622"/>
      <c r="K22" s="622"/>
      <c r="L22" s="622"/>
      <c r="M22" s="623"/>
      <c r="N22" s="623"/>
      <c r="O22" s="623"/>
      <c r="P22" s="623"/>
      <c r="Q22" s="624"/>
    </row>
    <row r="23" spans="1:17" ht="10" customHeight="1">
      <c r="A23" s="230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2"/>
    </row>
    <row r="24" spans="1:17" s="227" customFormat="1" ht="30.75" customHeight="1" thickBot="1">
      <c r="A24" s="250"/>
      <c r="B24" s="251"/>
      <c r="C24" s="251"/>
      <c r="D24" s="372"/>
      <c r="E24" s="251"/>
      <c r="F24" s="251"/>
      <c r="G24" s="251"/>
      <c r="H24" s="251"/>
      <c r="I24" s="251"/>
      <c r="J24" s="252"/>
      <c r="K24" s="251"/>
      <c r="L24" s="251"/>
      <c r="M24" s="253"/>
      <c r="N24" s="254" t="str">
        <f>texty!A58</f>
        <v>výška až 3 m!</v>
      </c>
      <c r="O24" s="255"/>
      <c r="P24" s="256" t="str">
        <f>texty!A57</f>
        <v>výška až 3,5m!</v>
      </c>
      <c r="Q24" s="257"/>
    </row>
    <row r="25" spans="1:17" ht="107.25" customHeight="1" thickBot="1">
      <c r="A25" s="233"/>
      <c r="B25" s="292"/>
      <c r="C25" s="258"/>
      <c r="D25" s="365"/>
      <c r="E25" s="251"/>
      <c r="F25" s="366"/>
      <c r="G25" s="234"/>
      <c r="H25" s="367"/>
      <c r="I25" s="259"/>
      <c r="J25" s="368"/>
      <c r="K25" s="258"/>
      <c r="L25" s="368"/>
      <c r="M25" s="260"/>
      <c r="N25" s="368"/>
      <c r="O25" s="258"/>
      <c r="P25" s="369"/>
      <c r="Q25" s="260"/>
    </row>
    <row r="26" spans="1:17" s="55" customFormat="1" ht="15" customHeight="1">
      <c r="A26" s="261"/>
      <c r="B26" s="262" t="s">
        <v>1189</v>
      </c>
      <c r="C26" s="263"/>
      <c r="D26" s="264" t="s">
        <v>45</v>
      </c>
      <c r="E26" s="265"/>
      <c r="F26" s="526" t="s">
        <v>1475</v>
      </c>
      <c r="G26" s="234"/>
      <c r="H26" s="266" t="s">
        <v>46</v>
      </c>
      <c r="I26" s="265"/>
      <c r="J26" s="526" t="s">
        <v>1059</v>
      </c>
      <c r="K26" s="263"/>
      <c r="L26" s="415" t="s">
        <v>120</v>
      </c>
      <c r="M26" s="235"/>
      <c r="N26" s="527" t="s">
        <v>1000</v>
      </c>
      <c r="O26" s="267"/>
      <c r="P26" s="528" t="s">
        <v>124</v>
      </c>
      <c r="Q26" s="268"/>
    </row>
    <row r="27" spans="1:17" s="349" customFormat="1" ht="15" customHeight="1">
      <c r="A27" s="337"/>
      <c r="B27" s="338"/>
      <c r="C27" s="339"/>
      <c r="D27" s="340"/>
      <c r="E27" s="341"/>
      <c r="F27" s="342"/>
      <c r="G27" s="343"/>
      <c r="H27" s="344"/>
      <c r="I27" s="339"/>
      <c r="J27" s="339"/>
      <c r="K27" s="339"/>
      <c r="L27" s="345"/>
      <c r="M27" s="346"/>
      <c r="N27" s="347"/>
      <c r="O27" s="346"/>
      <c r="P27" s="347"/>
      <c r="Q27" s="348"/>
    </row>
    <row r="28" spans="1:17" s="349" customFormat="1" ht="17" customHeight="1">
      <c r="A28" s="337"/>
      <c r="B28" s="350"/>
      <c r="C28" s="339"/>
      <c r="D28" s="339"/>
      <c r="E28" s="339"/>
      <c r="F28" s="339"/>
      <c r="G28" s="339"/>
      <c r="H28" s="339"/>
      <c r="I28" s="339"/>
      <c r="J28" s="339"/>
      <c r="K28" s="346"/>
      <c r="L28" s="346"/>
      <c r="M28" s="615" t="s">
        <v>2968</v>
      </c>
      <c r="N28" s="615"/>
      <c r="O28" s="615"/>
      <c r="P28" s="615"/>
      <c r="Q28" s="616"/>
    </row>
    <row r="29" spans="1:17" s="349" customFormat="1" ht="17" customHeight="1" thickBot="1">
      <c r="A29" s="337"/>
      <c r="B29" s="350"/>
      <c r="C29" s="339"/>
      <c r="D29" s="339"/>
      <c r="E29" s="339"/>
      <c r="F29" s="339"/>
      <c r="G29" s="339"/>
      <c r="H29" s="339"/>
      <c r="I29" s="339"/>
      <c r="J29" s="339"/>
      <c r="K29" s="346"/>
      <c r="L29" s="346"/>
      <c r="M29" s="351"/>
      <c r="N29" s="534"/>
      <c r="O29" s="534"/>
      <c r="P29" s="534"/>
      <c r="Q29" s="352"/>
    </row>
    <row r="30" spans="1:17" ht="107.25" customHeight="1" thickBot="1">
      <c r="A30" s="337"/>
      <c r="B30" s="368"/>
      <c r="C30" s="339"/>
      <c r="D30" s="368"/>
      <c r="E30" s="339"/>
      <c r="F30" s="368"/>
      <c r="G30" s="339"/>
      <c r="H30" s="339"/>
      <c r="I30" s="339"/>
      <c r="J30" s="339"/>
      <c r="K30" s="339"/>
      <c r="L30" s="347"/>
      <c r="M30" s="353"/>
      <c r="N30" s="368"/>
      <c r="O30" s="353"/>
      <c r="P30" s="368"/>
      <c r="Q30" s="352"/>
    </row>
    <row r="31" spans="1:17" s="228" customFormat="1" ht="19.5" customHeight="1">
      <c r="A31" s="417"/>
      <c r="B31" s="528" t="s">
        <v>1447</v>
      </c>
      <c r="C31" s="418"/>
      <c r="D31" s="528" t="s">
        <v>7988</v>
      </c>
      <c r="E31" s="354"/>
      <c r="F31" s="528" t="s">
        <v>7990</v>
      </c>
      <c r="G31" s="354"/>
      <c r="H31" s="354"/>
      <c r="I31" s="354"/>
      <c r="J31" s="354"/>
      <c r="K31" s="354"/>
      <c r="L31" s="355"/>
      <c r="M31" s="356"/>
      <c r="N31" s="529" t="s">
        <v>982</v>
      </c>
      <c r="O31" s="360"/>
      <c r="P31" s="529" t="s">
        <v>983</v>
      </c>
      <c r="Q31" s="359"/>
    </row>
    <row r="32" spans="1:17" ht="19.5" customHeight="1" thickBot="1">
      <c r="A32" s="337"/>
      <c r="B32" s="339"/>
      <c r="C32" s="339"/>
      <c r="D32" s="339"/>
      <c r="E32" s="339"/>
      <c r="F32" s="339"/>
      <c r="G32" s="339"/>
      <c r="H32" s="339"/>
      <c r="I32" s="357"/>
      <c r="J32" s="358"/>
      <c r="K32" s="358"/>
      <c r="L32" s="358"/>
      <c r="M32" s="356"/>
      <c r="N32" s="356"/>
      <c r="O32" s="356"/>
      <c r="P32" s="356"/>
      <c r="Q32" s="356"/>
    </row>
    <row r="33" spans="1:27" s="229" customFormat="1" ht="24.75" customHeight="1">
      <c r="A33" s="586" t="str">
        <f>texty!A32</f>
        <v>Výplň 18mm (drevotrieska 18mm, prípadne kombinácia DTD + sklo / zrkadlo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8"/>
      <c r="AA33" s="1"/>
    </row>
    <row r="34" spans="1:27" ht="10" customHeight="1">
      <c r="A34" s="237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73"/>
      <c r="N34" s="273"/>
      <c r="O34" s="273"/>
      <c r="P34" s="273"/>
      <c r="Q34" s="269"/>
      <c r="W34" s="220"/>
      <c r="X34" s="220"/>
      <c r="Y34" s="220"/>
      <c r="Z34" s="220"/>
    </row>
    <row r="35" spans="1:27" s="227" customFormat="1" ht="30.75" customHeight="1" thickBot="1">
      <c r="A35" s="270"/>
      <c r="B35" s="271"/>
      <c r="C35" s="271"/>
      <c r="D35" s="271"/>
      <c r="E35" s="271"/>
      <c r="F35" s="373"/>
      <c r="G35" s="245"/>
      <c r="H35" s="373"/>
      <c r="I35" s="245"/>
      <c r="J35" s="373"/>
      <c r="K35" s="245"/>
      <c r="L35" s="373"/>
      <c r="M35" s="271"/>
      <c r="N35" s="241"/>
      <c r="O35" s="242"/>
      <c r="P35" s="239"/>
      <c r="Q35" s="269"/>
      <c r="AA35" s="1"/>
    </row>
    <row r="36" spans="1:27" ht="106.5" customHeight="1" thickBot="1">
      <c r="A36" s="272"/>
      <c r="B36" s="367"/>
      <c r="C36" s="273"/>
      <c r="D36" s="292"/>
      <c r="E36" s="273"/>
      <c r="F36" s="367"/>
      <c r="G36" s="273"/>
      <c r="H36" s="367"/>
      <c r="I36" s="273"/>
      <c r="J36" s="367"/>
      <c r="K36" s="274"/>
      <c r="L36" s="293"/>
      <c r="M36" s="275"/>
      <c r="N36" s="367"/>
      <c r="O36" s="275"/>
      <c r="P36" s="300"/>
      <c r="Q36" s="535"/>
    </row>
    <row r="37" spans="1:27" s="55" customFormat="1" ht="15" customHeight="1">
      <c r="A37" s="276"/>
      <c r="B37" s="530" t="s">
        <v>1179</v>
      </c>
      <c r="C37" s="277"/>
      <c r="D37" s="530" t="s">
        <v>1040</v>
      </c>
      <c r="E37" s="277"/>
      <c r="F37" s="530" t="s">
        <v>1289</v>
      </c>
      <c r="G37" s="277"/>
      <c r="H37" s="530" t="s">
        <v>1180</v>
      </c>
      <c r="I37" s="277"/>
      <c r="J37" s="530" t="s">
        <v>1476</v>
      </c>
      <c r="K37" s="278"/>
      <c r="L37" s="530" t="s">
        <v>1184</v>
      </c>
      <c r="M37" s="530"/>
      <c r="N37" s="530" t="s">
        <v>1182</v>
      </c>
      <c r="O37" s="530"/>
      <c r="P37" s="300"/>
      <c r="Q37" s="326"/>
      <c r="R37" s="4"/>
      <c r="T37" s="180"/>
    </row>
    <row r="38" spans="1:27" s="55" customFormat="1" ht="15" customHeight="1">
      <c r="A38" s="276"/>
      <c r="B38" s="239"/>
      <c r="C38" s="277"/>
      <c r="D38" s="240"/>
      <c r="E38" s="277"/>
      <c r="F38" s="239"/>
      <c r="G38" s="277"/>
      <c r="H38" s="239"/>
      <c r="I38" s="277"/>
      <c r="J38" s="239"/>
      <c r="K38" s="278"/>
      <c r="L38" s="239"/>
      <c r="M38" s="300"/>
      <c r="N38" s="300"/>
      <c r="O38" s="300"/>
      <c r="P38" s="300"/>
      <c r="Q38" s="326"/>
      <c r="R38" s="4"/>
      <c r="T38" s="180"/>
    </row>
    <row r="39" spans="1:27" s="239" customFormat="1" ht="15" customHeight="1">
      <c r="A39" s="276"/>
      <c r="C39" s="277"/>
      <c r="E39" s="277"/>
      <c r="G39" s="277"/>
      <c r="I39" s="278"/>
      <c r="L39" s="300"/>
      <c r="M39" s="300"/>
      <c r="N39" s="300"/>
      <c r="O39" s="300"/>
      <c r="P39" s="300"/>
      <c r="Q39" s="300"/>
    </row>
    <row r="40" spans="1:27" ht="17" customHeight="1" thickBot="1">
      <c r="A40" s="273"/>
      <c r="B40" s="275"/>
      <c r="C40" s="242"/>
      <c r="D40" s="242"/>
      <c r="E40" s="242"/>
      <c r="F40" s="275"/>
      <c r="G40" s="278"/>
      <c r="H40" s="239"/>
      <c r="I40" s="239"/>
      <c r="J40" s="239"/>
      <c r="K40" s="294"/>
      <c r="L40" s="294"/>
      <c r="M40" s="300"/>
      <c r="N40" s="300"/>
      <c r="O40" s="300"/>
      <c r="P40" s="300"/>
      <c r="Q40" s="300"/>
    </row>
    <row r="41" spans="1:27" ht="106.5" customHeight="1" thickBot="1">
      <c r="A41" s="273"/>
      <c r="B41" s="295"/>
      <c r="C41" s="273"/>
      <c r="D41" s="296"/>
      <c r="E41" s="243"/>
      <c r="F41" s="293"/>
      <c r="G41" s="243"/>
      <c r="H41" s="293"/>
      <c r="I41" s="289"/>
      <c r="J41" s="288"/>
      <c r="K41" s="294"/>
      <c r="L41" s="295"/>
      <c r="M41" s="300"/>
      <c r="N41" s="300"/>
      <c r="O41" s="300"/>
      <c r="P41" s="300"/>
      <c r="Q41" s="300"/>
    </row>
    <row r="42" spans="1:27" s="55" customFormat="1">
      <c r="A42" s="277"/>
      <c r="B42" s="530" t="s">
        <v>1477</v>
      </c>
      <c r="C42" s="277"/>
      <c r="D42" s="530" t="s">
        <v>688</v>
      </c>
      <c r="E42" s="277"/>
      <c r="F42" s="530" t="s">
        <v>729</v>
      </c>
      <c r="G42" s="277"/>
      <c r="H42" s="530" t="s">
        <v>733</v>
      </c>
      <c r="I42" s="530"/>
      <c r="J42" s="531" t="s">
        <v>1440</v>
      </c>
      <c r="K42" s="297"/>
      <c r="L42" s="530" t="s">
        <v>121</v>
      </c>
      <c r="M42" s="300"/>
      <c r="N42" s="300"/>
      <c r="O42" s="300"/>
      <c r="P42" s="300"/>
      <c r="Q42" s="300"/>
      <c r="V42" s="1"/>
    </row>
    <row r="43" spans="1:27" s="55" customFormat="1">
      <c r="A43" s="319"/>
      <c r="B43" s="300"/>
      <c r="C43" s="301"/>
      <c r="D43" s="300"/>
      <c r="E43" s="301"/>
      <c r="F43" s="300"/>
      <c r="G43" s="301"/>
      <c r="H43" s="300"/>
      <c r="I43" s="301"/>
      <c r="J43" s="300"/>
      <c r="K43" s="301"/>
      <c r="L43" s="300"/>
      <c r="M43" s="300"/>
      <c r="N43" s="300"/>
      <c r="O43" s="300"/>
      <c r="P43" s="300"/>
      <c r="Q43" s="326"/>
      <c r="R43" s="4"/>
      <c r="X43" s="1"/>
    </row>
    <row r="44" spans="1:27" s="331" customFormat="1" ht="29.25" customHeight="1">
      <c r="A44" s="594" t="str">
        <f>texty!$A$61</f>
        <v>systém Maxim (kombinácia DTD 18mm a sklo)</v>
      </c>
      <c r="B44" s="595"/>
      <c r="C44" s="595"/>
      <c r="D44" s="595"/>
      <c r="E44" s="595"/>
      <c r="F44" s="532"/>
      <c r="G44" s="599" t="str">
        <f>texty!$A$221</f>
        <v>Blue 18 mm (rámový)</v>
      </c>
      <c r="H44" s="599"/>
      <c r="I44" s="599"/>
      <c r="J44" s="599"/>
      <c r="K44" s="599"/>
      <c r="L44" s="532"/>
      <c r="M44" s="596" t="str">
        <f>texty!$A$220</f>
        <v>Blue 18 mm (bezrámovo)</v>
      </c>
      <c r="N44" s="596"/>
      <c r="O44" s="596"/>
      <c r="P44" s="596"/>
      <c r="Q44" s="597"/>
      <c r="R44" s="330"/>
    </row>
    <row r="45" spans="1:27" s="331" customFormat="1" ht="17" thickBot="1">
      <c r="A45" s="327"/>
      <c r="B45" s="328"/>
      <c r="C45" s="328"/>
      <c r="D45" s="332"/>
      <c r="E45" s="328"/>
      <c r="F45" s="301"/>
      <c r="G45" s="370"/>
      <c r="H45" s="335" t="str">
        <f>texty!$A$151</f>
        <v>NOVINKA</v>
      </c>
      <c r="I45" s="370"/>
      <c r="J45" s="335" t="str">
        <f>texty!$A$151</f>
        <v>NOVINKA</v>
      </c>
      <c r="K45" s="333"/>
      <c r="L45" s="300"/>
      <c r="M45" s="334"/>
      <c r="N45" s="335" t="str">
        <f>texty!$A$151</f>
        <v>NOVINKA</v>
      </c>
      <c r="O45" s="334"/>
      <c r="P45" s="335" t="str">
        <f>texty!$A$151</f>
        <v>NOVINKA</v>
      </c>
      <c r="Q45" s="336"/>
      <c r="R45" s="330"/>
    </row>
    <row r="46" spans="1:27" s="55" customFormat="1" ht="106.5" customHeight="1" thickTop="1" thickBot="1">
      <c r="A46" s="329"/>
      <c r="B46" s="288"/>
      <c r="C46" s="321"/>
      <c r="D46" s="389"/>
      <c r="E46" s="321"/>
      <c r="F46" s="301"/>
      <c r="G46" s="282"/>
      <c r="H46" s="287"/>
      <c r="I46" s="282"/>
      <c r="J46" s="287"/>
      <c r="K46" s="282"/>
      <c r="L46" s="300"/>
      <c r="M46" s="244"/>
      <c r="N46" s="287"/>
      <c r="O46" s="244"/>
      <c r="P46" s="287"/>
      <c r="Q46" s="281"/>
      <c r="R46" s="4"/>
    </row>
    <row r="47" spans="1:27" s="55" customFormat="1">
      <c r="A47" s="419"/>
      <c r="B47" s="416" t="s">
        <v>1181</v>
      </c>
      <c r="C47" s="420"/>
      <c r="D47" s="416" t="s">
        <v>1465</v>
      </c>
      <c r="E47" s="316"/>
      <c r="F47" s="301"/>
      <c r="G47" s="282"/>
      <c r="H47" s="416" t="s">
        <v>1560</v>
      </c>
      <c r="I47" s="279"/>
      <c r="J47" s="416" t="s">
        <v>1534</v>
      </c>
      <c r="K47" s="279"/>
      <c r="L47" s="532"/>
      <c r="M47" s="416"/>
      <c r="N47" s="416" t="s">
        <v>1560</v>
      </c>
      <c r="O47" s="416"/>
      <c r="P47" s="416" t="s">
        <v>1534</v>
      </c>
      <c r="Q47" s="280"/>
      <c r="R47" s="4"/>
    </row>
    <row r="48" spans="1:27" s="55" customFormat="1" ht="16">
      <c r="A48" s="313"/>
      <c r="B48" s="314"/>
      <c r="C48" s="314"/>
      <c r="D48" s="315"/>
      <c r="E48" s="316"/>
      <c r="F48" s="300"/>
      <c r="G48" s="317"/>
      <c r="H48" s="314"/>
      <c r="I48" s="318"/>
      <c r="J48" s="333"/>
      <c r="K48" s="290"/>
      <c r="L48" s="300"/>
      <c r="M48" s="291"/>
      <c r="N48" s="291"/>
      <c r="O48" s="291"/>
      <c r="P48" s="291"/>
      <c r="Q48" s="280"/>
      <c r="R48" s="4"/>
    </row>
    <row r="49" spans="1:24" s="55" customFormat="1" ht="17" customHeight="1">
      <c r="A49" s="319"/>
      <c r="B49" s="300"/>
      <c r="C49" s="301"/>
      <c r="D49" s="301"/>
      <c r="E49" s="301"/>
      <c r="F49" s="301"/>
      <c r="G49" s="301"/>
      <c r="H49" s="300"/>
      <c r="I49" s="301"/>
      <c r="J49" s="300"/>
      <c r="K49" s="301"/>
      <c r="L49" s="300"/>
      <c r="M49" s="300"/>
      <c r="N49" s="300"/>
      <c r="O49" s="300"/>
      <c r="P49" s="300"/>
      <c r="Q49" s="304"/>
      <c r="R49" s="4"/>
      <c r="X49" s="1"/>
    </row>
    <row r="50" spans="1:24" s="55" customFormat="1">
      <c r="A50" s="319"/>
      <c r="B50" s="300"/>
      <c r="C50" s="301"/>
      <c r="D50" s="301"/>
      <c r="E50" s="301"/>
      <c r="F50" s="301"/>
      <c r="G50" s="301"/>
      <c r="H50" s="300"/>
      <c r="I50" s="300"/>
      <c r="J50" s="300"/>
      <c r="K50" s="596" t="str">
        <f>texty!$A$222</f>
        <v> Systém Comfort</v>
      </c>
      <c r="L50" s="596"/>
      <c r="M50" s="596"/>
      <c r="N50" s="596"/>
      <c r="O50" s="596"/>
      <c r="P50" s="596"/>
      <c r="Q50" s="597"/>
      <c r="R50" s="4"/>
      <c r="X50" s="1"/>
    </row>
    <row r="51" spans="1:24" s="55" customFormat="1" ht="17" customHeight="1" thickBot="1">
      <c r="A51" s="319"/>
      <c r="B51" s="300"/>
      <c r="C51" s="301"/>
      <c r="D51" s="301"/>
      <c r="E51" s="301"/>
      <c r="F51" s="300"/>
      <c r="G51" s="301"/>
      <c r="H51" s="300"/>
      <c r="I51" s="301"/>
      <c r="J51" s="300"/>
      <c r="K51" s="316"/>
      <c r="L51" s="314"/>
      <c r="M51" s="316"/>
      <c r="N51" s="314"/>
      <c r="O51" s="316"/>
      <c r="P51" s="314"/>
      <c r="Q51" s="325"/>
      <c r="R51" s="4"/>
      <c r="X51" s="1"/>
    </row>
    <row r="52" spans="1:24" s="55" customFormat="1" ht="106.25" customHeight="1" thickBot="1">
      <c r="A52" s="319"/>
      <c r="B52" s="300"/>
      <c r="C52" s="301"/>
      <c r="D52" s="301"/>
      <c r="E52" s="301"/>
      <c r="F52" s="300"/>
      <c r="G52" s="301"/>
      <c r="H52" s="300"/>
      <c r="I52" s="301"/>
      <c r="J52" s="300"/>
      <c r="K52" s="316"/>
      <c r="L52" s="298"/>
      <c r="M52" s="316"/>
      <c r="N52" s="298"/>
      <c r="O52" s="316"/>
      <c r="P52" s="298"/>
      <c r="Q52" s="325"/>
      <c r="R52" s="4"/>
    </row>
    <row r="53" spans="1:24">
      <c r="A53" s="319"/>
      <c r="B53" s="300"/>
      <c r="C53" s="301"/>
      <c r="D53" s="301"/>
      <c r="E53" s="301"/>
      <c r="F53" s="301"/>
      <c r="G53" s="301"/>
      <c r="H53" s="300"/>
      <c r="I53" s="301"/>
      <c r="J53" s="300"/>
      <c r="K53" s="321"/>
      <c r="L53" s="416" t="s">
        <v>1478</v>
      </c>
      <c r="M53" s="317"/>
      <c r="N53" s="416" t="s">
        <v>1480</v>
      </c>
      <c r="O53" s="317"/>
      <c r="P53" s="416" t="s">
        <v>1479</v>
      </c>
      <c r="Q53" s="325"/>
      <c r="R53" s="4"/>
    </row>
    <row r="54" spans="1:24" ht="16" thickBot="1">
      <c r="A54" s="320"/>
      <c r="B54" s="302"/>
      <c r="C54" s="301"/>
      <c r="D54" s="301"/>
      <c r="E54" s="301"/>
      <c r="F54" s="303"/>
      <c r="G54" s="301"/>
      <c r="H54" s="300"/>
      <c r="I54" s="301"/>
      <c r="J54" s="302"/>
      <c r="K54" s="322"/>
      <c r="L54" s="323"/>
      <c r="M54" s="323"/>
      <c r="N54" s="323"/>
      <c r="O54" s="323"/>
      <c r="P54" s="323"/>
      <c r="Q54" s="324"/>
      <c r="R54" s="4"/>
    </row>
    <row r="55" spans="1:24" ht="24.75" customHeight="1" thickBot="1">
      <c r="A55" s="589" t="s">
        <v>4</v>
      </c>
      <c r="B55" s="590"/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590"/>
      <c r="P55" s="590"/>
      <c r="Q55" s="591"/>
    </row>
    <row r="56" spans="1:24" ht="24.75" customHeight="1">
      <c r="A56" s="283"/>
      <c r="B56" s="283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</row>
    <row r="57" spans="1:24" s="284" customFormat="1" ht="24.75" customHeight="1">
      <c r="A57" s="598" t="s">
        <v>2964</v>
      </c>
      <c r="B57" s="598"/>
      <c r="C57" s="598"/>
      <c r="D57" s="598"/>
      <c r="E57" s="598"/>
      <c r="F57" s="598"/>
      <c r="G57" s="598"/>
      <c r="H57" s="598"/>
      <c r="I57" s="598"/>
      <c r="J57" s="598"/>
      <c r="K57" s="598"/>
      <c r="L57" s="598"/>
      <c r="M57" s="598"/>
      <c r="N57" s="598"/>
      <c r="O57" s="598"/>
      <c r="P57" s="598"/>
      <c r="Q57" s="598"/>
    </row>
    <row r="58" spans="1:24" s="284" customFormat="1" ht="24.75" customHeight="1">
      <c r="A58" s="283"/>
      <c r="M58" s="283"/>
      <c r="N58" s="283"/>
      <c r="O58" s="283"/>
      <c r="P58" s="283"/>
      <c r="Q58" s="283"/>
    </row>
    <row r="59" spans="1:24" s="284" customFormat="1" ht="24.75" customHeight="1">
      <c r="A59" s="283"/>
      <c r="B59" s="593">
        <v>180245</v>
      </c>
      <c r="C59" s="593"/>
      <c r="D59" s="593"/>
      <c r="E59" s="283"/>
      <c r="F59" s="519" t="str">
        <f>+VLOOKUP(B59,cennik!$A:$G,2,FALSE)</f>
        <v>Vzorkovník úchyt.líšt 2017 šanón PREDAJ</v>
      </c>
      <c r="G59" s="519"/>
      <c r="H59" s="519"/>
      <c r="I59" s="519"/>
      <c r="J59" s="519"/>
      <c r="K59" s="519"/>
      <c r="L59" s="519"/>
      <c r="M59" s="283"/>
      <c r="N59" s="283"/>
      <c r="O59" s="283"/>
      <c r="P59" s="283"/>
      <c r="Q59" s="283"/>
    </row>
    <row r="60" spans="1:24" s="284" customFormat="1" ht="24.75" customHeight="1">
      <c r="A60" s="283"/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</row>
    <row r="61" spans="1:24" s="284" customFormat="1" ht="24.75" customHeight="1">
      <c r="A61" s="283"/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</row>
    <row r="62" spans="1:24" s="284" customFormat="1" ht="24.75" customHeight="1">
      <c r="A62" s="283"/>
      <c r="B62" s="283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</row>
    <row r="63" spans="1:24" s="284" customFormat="1" ht="24.75" customHeight="1">
      <c r="A63" s="283"/>
      <c r="B63" s="283"/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</row>
    <row r="64" spans="1:24" s="284" customFormat="1" ht="24.75" customHeight="1">
      <c r="A64" s="283"/>
      <c r="B64" s="283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</row>
    <row r="65" spans="1:17" s="284" customFormat="1" ht="24.75" customHeight="1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</row>
    <row r="66" spans="1:17" s="284" customFormat="1" ht="24.75" customHeight="1">
      <c r="A66" s="283"/>
      <c r="B66" s="283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</row>
    <row r="67" spans="1:17" s="284" customFormat="1" ht="24.75" customHeight="1">
      <c r="A67" s="283"/>
      <c r="B67" s="283"/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</row>
    <row r="68" spans="1:17" s="284" customFormat="1" ht="24.7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</row>
    <row r="69" spans="1:17" s="284" customFormat="1" ht="24.7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</row>
    <row r="70" spans="1:17" ht="9.75" customHeight="1"/>
    <row r="71" spans="1:17" ht="18">
      <c r="A71" s="592" t="str">
        <f>texty!A190</f>
        <v>Ďalšie príslušenstvo</v>
      </c>
      <c r="B71" s="592"/>
      <c r="C71" s="592"/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2"/>
      <c r="O71" s="592"/>
      <c r="P71" s="592"/>
      <c r="Q71" s="592"/>
    </row>
    <row r="72" spans="1:17" ht="15" customHeight="1"/>
    <row r="73" spans="1:17" ht="15" customHeight="1">
      <c r="A73" s="55" t="str">
        <f>texty!A144</f>
        <v>Návod na použitie:</v>
      </c>
    </row>
    <row r="74" spans="1:17" ht="15" customHeight="1">
      <c r="A74" s="1" t="str">
        <f>texty!A134</f>
        <v>1. Vyplnte prosím kontatkné údaje, taktiež môžete zadať svoju zákaznícku zľavu.Tieto údaje sa prenesú na jednotlivé listy.</v>
      </c>
    </row>
    <row r="75" spans="1:17" ht="15" customHeight="1">
      <c r="A75" s="1" t="str">
        <f>texty!A135</f>
        <v>2. Vyberte požadovaný typ úchytného profilu (kliknite na názov profilu pod obrázkom)</v>
      </c>
    </row>
    <row r="76" spans="1:17" ht="15" customHeight="1">
      <c r="A76" s="1" t="str">
        <f>texty!A136</f>
        <v>3. Na stránke so zostavou profilou vyplnte rozmer otvoru.</v>
      </c>
    </row>
    <row r="77" spans="1:17" ht="15" customHeight="1">
      <c r="A77" s="1" t="str">
        <f>texty!A137</f>
        <v>4. Vyplnte počet dverí, z ktorých sa bude zostava skladať</v>
      </c>
    </row>
    <row r="78" spans="1:17" ht="15" customHeight="1">
      <c r="A78" s="1" t="str">
        <f>texty!A138</f>
        <v>5. Vyberte požadovanú farbu profilu (kliknite na okienko so šipkou - rozbalí sa zoznam, tu vyberte farbu)</v>
      </c>
    </row>
    <row r="79" spans="1:17" ht="15" customHeight="1">
      <c r="A79" s="1" t="str">
        <f>texty!A139</f>
        <v>6. V prípade, že chcete dvere rozdeliť deliacími profilmi, doplnte v spodnej časti formuláru potrebný počet líšt</v>
      </c>
    </row>
    <row r="80" spans="1:17" ht="15" customHeight="1">
      <c r="A80" s="1" t="str">
        <f>texty!A140</f>
        <v>7. Pri použití skla alebo zrkadla je nutné použiť tesniaci profil. Vzhľadom k možnej kombinácií skla s doskami</v>
      </c>
    </row>
    <row r="81" spans="1:15" ht="15" customHeight="1">
      <c r="A81" s="1" t="str">
        <f>texty!A141</f>
        <v xml:space="preserve">    nie je možné určiť dĺžku tesnenia predom. V zostave je vypočítaná dĺžka tesnenia na jedno krídlo.</v>
      </c>
    </row>
    <row r="82" spans="1:15" ht="15" customHeight="1">
      <c r="A82" s="1" t="str">
        <f>texty!A142</f>
        <v xml:space="preserve">    Ďalej je spočítaná dĺžka v prípade, že celá zostava je zo skla / zrkadla</v>
      </c>
      <c r="H82" s="226"/>
      <c r="I82" s="226"/>
      <c r="J82" s="226"/>
    </row>
    <row r="83" spans="1:15" ht="15" customHeight="1">
      <c r="A83" s="1" t="str">
        <f>texty!A143</f>
        <v>8. V prípade delenia úchytového profilu je kalkulovaná šírka rezu 5mm.</v>
      </c>
    </row>
    <row r="84" spans="1:15" ht="15" customHeight="1"/>
    <row r="85" spans="1:15" ht="15" customHeight="1">
      <c r="O85" s="171"/>
    </row>
    <row r="86" spans="1:15" ht="16.5" customHeight="1">
      <c r="O86" s="171"/>
    </row>
    <row r="87" spans="1:15" ht="15" customHeight="1">
      <c r="B87" s="156" t="s">
        <v>7992</v>
      </c>
      <c r="F87" s="140" t="s">
        <v>153</v>
      </c>
      <c r="G87" s="139" t="str">
        <f>cennik!$B$2</f>
        <v>EUR</v>
      </c>
    </row>
    <row r="88" spans="1:15" ht="15" customHeight="1">
      <c r="A88" s="154" t="str">
        <f>texty!A153</f>
        <v>Spracované na základe údajov dodaných výrobcom, chyby vyhradené, zvlášť v prípade hromadnej výroby odporúčame najprv výrobu skúšobného prototypu</v>
      </c>
    </row>
    <row r="89" spans="1:15" ht="15" customHeight="1"/>
    <row r="316" spans="3:9" ht="15" hidden="1" customHeight="1">
      <c r="I316" s="1">
        <f>$J$14</f>
        <v>0</v>
      </c>
    </row>
    <row r="317" spans="3:9" ht="15" hidden="1" customHeight="1">
      <c r="C317" s="1">
        <f>$J$14</f>
        <v>0</v>
      </c>
      <c r="D317" s="1">
        <v>276730</v>
      </c>
    </row>
    <row r="319" spans="3:9" ht="15" customHeight="1"/>
    <row r="320" spans="3:9" ht="15" customHeight="1"/>
  </sheetData>
  <sheetProtection algorithmName="SHA-512" hashValue="qVWEzKPa8aFkvyw7PlXqGvjBNVDBprUA7s2/nXcFwhvuaT2dEuuDCOIOBDkZB4mDEiLTlb7nzdNXT3nMmlUm8Q==" saltValue="ODoG2IMj2YFUCU5dQokrng==" spinCount="100000" sheet="1" objects="1" scenarios="1"/>
  <mergeCells count="26">
    <mergeCell ref="M28:Q28"/>
    <mergeCell ref="A16:Q16"/>
    <mergeCell ref="A22:Q22"/>
    <mergeCell ref="A17:Q17"/>
    <mergeCell ref="A11:B11"/>
    <mergeCell ref="C11:Q11"/>
    <mergeCell ref="A13:B13"/>
    <mergeCell ref="C13:Q13"/>
    <mergeCell ref="A15:B15"/>
    <mergeCell ref="C15:D15"/>
    <mergeCell ref="G15:Q15"/>
    <mergeCell ref="A1:I3"/>
    <mergeCell ref="A5:Q5"/>
    <mergeCell ref="A7:B7"/>
    <mergeCell ref="C7:Q7"/>
    <mergeCell ref="A9:B9"/>
    <mergeCell ref="C9:Q9"/>
    <mergeCell ref="A33:Q33"/>
    <mergeCell ref="A55:Q55"/>
    <mergeCell ref="A71:Q71"/>
    <mergeCell ref="B59:D59"/>
    <mergeCell ref="A44:E44"/>
    <mergeCell ref="K50:Q50"/>
    <mergeCell ref="A57:Q57"/>
    <mergeCell ref="G44:K44"/>
    <mergeCell ref="M44:Q44"/>
  </mergeCells>
  <hyperlinks>
    <hyperlink ref="D26" location="gemini!A1" display="gemini" xr:uid="{00000000-0004-0000-0400-000000000000}"/>
    <hyperlink ref="H26" location="julie!A1" display=" julie " xr:uid="{00000000-0004-0000-0400-000001000000}"/>
    <hyperlink ref="H37" location="victoria!A1" display="victoria" xr:uid="{00000000-0004-0000-0400-000002000000}"/>
    <hyperlink ref="B37" location="Faworyt!A1" display="Faworyt" xr:uid="{00000000-0004-0000-0400-000003000000}"/>
    <hyperlink ref="F37" location="'Oaza II'!barva_8" display="Oaza II" xr:uid="{00000000-0004-0000-0400-000005000000}"/>
    <hyperlink ref="J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22:Q22" location="sys.10mm!A1" display="Výplň tl. 10mm (nebo sklo/ zrcadlo s použitím těsnění - tl.4 nebo 6mm) - rámové dveře" xr:uid="{00000000-0004-0000-0400-00000E000000}"/>
    <hyperlink ref="A82:J82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71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D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71:G71" location="příslušenství!A55" display="příslušenství!A55" xr:uid="{00000000-0004-0000-0400-00001C000000}"/>
    <hyperlink ref="B20" location="Pax!barva" display="Pax" xr:uid="{00000000-0004-0000-0400-000020000000}"/>
    <hyperlink ref="L26" location="Fox!A1" display="Fox" xr:uid="{00000000-0004-0000-0400-000021000000}"/>
    <hyperlink ref="N47" location="'Libra Simple'!A1" display="Libra" xr:uid="{00000000-0004-0000-0400-000022000000}"/>
    <hyperlink ref="P47" location="'Uno Simple'!A1" display="Uno" xr:uid="{00000000-0004-0000-0400-000023000000}"/>
    <hyperlink ref="A33:Q33" location="'sys. 18mm'!A1" display="'sys. 18mm'!A1" xr:uid="{00000000-0004-0000-0400-000024000000}"/>
    <hyperlink ref="A17:Q17" location="'sys. Pax'!A1" display="'sys. Pax'!A1" xr:uid="{00000000-0004-0000-0400-000025000000}"/>
    <hyperlink ref="B47" location="Prosper!A1" display="prosper" xr:uid="{00000000-0004-0000-0400-000026000000}"/>
    <hyperlink ref="D47" location="Rex!barva_8" display="Rex" xr:uid="{00000000-0004-0000-0400-000027000000}"/>
    <hyperlink ref="H47" location="'Libra (rámová)'!barva_7" display="Libra" xr:uid="{00000000-0004-0000-0400-000028000000}"/>
    <hyperlink ref="A57" r:id="rId1" display="V případě nalezení chyby, nejasností, nám napište e-mail na nikola.janikova@demos-trade.com a david.kakes@demos-trade.com." xr:uid="{00000000-0004-0000-0400-00002A000000}"/>
    <hyperlink ref="A57:Q57" r:id="rId2" display="V případě nalezení chyby, nejasností, nám napište e-mail na nikola.janikova@demos-trade.com" xr:uid="{00000000-0004-0000-0400-00002B000000}"/>
    <hyperlink ref="J47" location="'Uno Simple'!A1" display="Uno" xr:uid="{00000000-0004-0000-0400-00002C000000}"/>
    <hyperlink ref="L42" location="focus!A1" display="Focus" xr:uid="{2720326D-AC78-4B1A-A7A7-4195E137AADC}"/>
    <hyperlink ref="D42" location="sys.10mm!A55" display="sys.10mm!A55" xr:uid="{4A61A4C2-864B-4223-9B4B-32F2EDBE4FEF}"/>
    <hyperlink ref="F42" location="Master!barva_7" display="Master" xr:uid="{28A9D1B3-1F24-45B5-AA56-380703DAC21F}"/>
    <hyperlink ref="H42" location="Fala!barva_7" display="Fala" xr:uid="{EDB18EFC-137E-4376-99BD-66FD6243E222}"/>
    <hyperlink ref="B42" location="'sys. 18mm'!A1" display="'sys. 18mm'!A1" xr:uid="{8DCF408A-75CA-4AA6-9D32-504D6CAFB575}"/>
    <hyperlink ref="J42" location="'sys. Pax'!A1" display="'sys. Pax'!A1" xr:uid="{31F731DB-689C-4529-9C27-F1E7012760B4}"/>
    <hyperlink ref="N37" location="tytan!A1" display="tytan" xr:uid="{0243BE8A-6D24-4CD7-B2D8-327B9148518B}"/>
    <hyperlink ref="L37" r:id="rId3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G44:K44" location="'Blue 18 mm (rámový)'!A1" display="'Blue 18 mm (rámový)'!A1" xr:uid="{86971C0B-9BC8-43D0-BAC2-507CE6F6E876}"/>
    <hyperlink ref="D31" location="Lynx!A1" display="Lynx" xr:uid="{84E73E1B-5FA1-467A-BB0B-F50F5672086E}"/>
    <hyperlink ref="F31" location="Vitara!A1" display="Vitara" xr:uid="{C02FFE69-4C3E-47BC-ABB7-0BB8007A2BCD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4"/>
  <headerFooter alignWithMargins="0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4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6640625" style="5" customWidth="1"/>
    <col min="2" max="2" width="15.83203125" style="5" customWidth="1"/>
    <col min="3" max="3" width="46.5" style="5" bestFit="1" customWidth="1"/>
    <col min="4" max="4" width="14.16406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-4.3</v>
      </c>
    </row>
    <row r="2" spans="1:16" ht="18.75" customHeight="1">
      <c r="A2" s="538" t="s">
        <v>1184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 2 742 mm /")</f>
        <v>výška / max.         2 742 mm /</v>
      </c>
      <c r="C3" s="435" t="str">
        <f>CONCATENATE(texty!A35," / max 6 000 mm /")</f>
        <v>šírka / max 6 000 mm /</v>
      </c>
      <c r="D3" s="9" t="str">
        <f>+Faworyt!D3</f>
        <v>počet dverí:</v>
      </c>
      <c r="E3" s="9" t="str">
        <f>+Faworyt!E3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+Faworyt!A4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+Faworyt!B5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+Faworyt!A7</f>
        <v>krídlo dverí:</v>
      </c>
      <c r="B7" s="68">
        <f>+B4-42</f>
        <v>-42</v>
      </c>
      <c r="C7" s="69">
        <f>+((C4+17*(D4-1))/D4+IF(AND(D4=4,D6=2),M1,0))</f>
        <v>11.333333333333334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CONCATENATE(+Faworyt!A8,"")</f>
        <v>rozmer výplne 18mm:</v>
      </c>
      <c r="B8" s="68">
        <f>+B7-2</f>
        <v>-44</v>
      </c>
      <c r="C8" s="511">
        <f>+C7-7</f>
        <v>4.3333333333333339</v>
      </c>
      <c r="D8" s="8"/>
      <c r="E8" s="8"/>
      <c r="F8" s="8"/>
      <c r="G8" s="5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texty!$A$51</f>
        <v>Dĺžka úchytkového profilu (+2 mm)</v>
      </c>
      <c r="B9" s="68">
        <f>B8+2</f>
        <v>-42</v>
      </c>
      <c r="C9" s="513"/>
      <c r="D9" s="8"/>
      <c r="E9" s="8"/>
      <c r="F9" s="8"/>
      <c r="G9" s="51"/>
      <c r="H9" s="6"/>
      <c r="L9" s="37"/>
      <c r="M9" s="36"/>
    </row>
    <row r="10" spans="1:16" ht="12.75" customHeight="1">
      <c r="B10" s="500" t="str">
        <f>texty!$A$64</f>
        <v>Pri tejto zostave nie je možné použiť kombináciu so sklom / zrkadlom</v>
      </c>
      <c r="C10" s="86"/>
      <c r="D10" s="8"/>
      <c r="E10" s="8"/>
      <c r="F10" s="8"/>
      <c r="G10" s="49"/>
      <c r="H10" s="6"/>
      <c r="O10" s="17"/>
      <c r="P10" s="21"/>
    </row>
    <row r="11" spans="1:16" ht="28">
      <c r="A11" s="644" t="str">
        <f>IF(SUM(D37:D38)&gt;0,texty!A246,"")</f>
        <v/>
      </c>
      <c r="B11" s="644"/>
      <c r="C11" s="514" t="str">
        <f>texty!A78</f>
        <v>dodatočné odpočty výšky vypočítaných výplní pri použití deliacich profilov výplne:</v>
      </c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644"/>
      <c r="B12" s="644"/>
      <c r="C12" s="67"/>
      <c r="D12" s="8"/>
      <c r="H12" s="6"/>
      <c r="L12" s="6"/>
    </row>
    <row r="13" spans="1:16" ht="12.75" customHeight="1">
      <c r="A13" s="193"/>
      <c r="B13" s="65"/>
      <c r="C13" s="169"/>
      <c r="D13" s="8"/>
      <c r="E13" s="8"/>
      <c r="F13" s="8"/>
      <c r="G13" s="6"/>
      <c r="H13" s="6"/>
      <c r="L13" s="6"/>
    </row>
    <row r="14" spans="1:16" ht="12.75" customHeight="1">
      <c r="A14" s="10"/>
      <c r="B14" s="8"/>
      <c r="C14" s="12"/>
      <c r="D14" s="8"/>
      <c r="E14" s="8"/>
      <c r="F14" s="8"/>
      <c r="G14" s="6"/>
      <c r="H14" s="6"/>
      <c r="I14" s="647" t="s">
        <v>2890</v>
      </c>
      <c r="L14" s="6"/>
    </row>
    <row r="15" spans="1:16" ht="12.75" customHeight="1">
      <c r="A15" s="7"/>
      <c r="B15" s="8"/>
      <c r="C15" s="12"/>
      <c r="D15" s="8"/>
      <c r="E15" s="8"/>
      <c r="F15" s="8"/>
      <c r="G15" s="6"/>
      <c r="H15" s="6"/>
      <c r="I15" s="647"/>
      <c r="L15" s="6"/>
    </row>
    <row r="16" spans="1:16" ht="12.75" customHeight="1">
      <c r="A16" s="7"/>
      <c r="B16" s="8"/>
      <c r="C16" s="12"/>
      <c r="D16" s="8"/>
      <c r="E16" s="8"/>
      <c r="F16" s="8"/>
      <c r="G16" s="6"/>
      <c r="H16" s="6"/>
      <c r="I16" s="648" t="s">
        <v>2891</v>
      </c>
      <c r="L16" s="6"/>
    </row>
    <row r="17" spans="1:12" ht="14.25" customHeight="1">
      <c r="B17" s="8"/>
      <c r="C17" s="27"/>
      <c r="D17" s="8"/>
      <c r="E17" s="8"/>
      <c r="F17" s="8"/>
      <c r="G17" s="6"/>
      <c r="H17" s="6"/>
      <c r="I17" s="648"/>
      <c r="L17" s="6"/>
    </row>
    <row r="18" spans="1:12" ht="14.25" customHeight="1">
      <c r="A18" s="7"/>
      <c r="B18" s="8"/>
      <c r="C18" s="27"/>
      <c r="D18" s="8"/>
      <c r="E18" s="8"/>
      <c r="F18" s="8"/>
      <c r="G18" s="6"/>
      <c r="H18" s="6"/>
      <c r="L18" s="6"/>
    </row>
    <row r="19" spans="1:12" ht="14.25" customHeight="1">
      <c r="A19" s="523" t="s">
        <v>2962</v>
      </c>
      <c r="B19" s="8"/>
      <c r="C19" s="27"/>
      <c r="D19" s="8"/>
      <c r="E19" s="8"/>
      <c r="F19" s="8"/>
      <c r="G19" s="6"/>
      <c r="H19" s="6"/>
      <c r="L19" s="6"/>
    </row>
    <row r="20" spans="1:12" ht="16.5" customHeight="1">
      <c r="A20" s="7"/>
      <c r="B20" s="8"/>
      <c r="C20" s="8"/>
      <c r="D20" s="13"/>
      <c r="E20" s="8"/>
      <c r="F20" s="6"/>
      <c r="G20" s="135" t="str">
        <f>+Faworyt!G23</f>
        <v>partnerská zľava:</v>
      </c>
      <c r="H20" s="6"/>
      <c r="L20" s="6"/>
    </row>
    <row r="21" spans="1:12" ht="12.75" customHeight="1">
      <c r="A21" s="132" t="str">
        <f>+Faworyt!A24</f>
        <v>Objednávacie kódy, ceny:</v>
      </c>
      <c r="B21" s="8"/>
      <c r="C21" s="8"/>
      <c r="D21" s="8"/>
      <c r="E21" s="8"/>
      <c r="F21" s="6"/>
      <c r="G21" s="121">
        <f>profil!C15</f>
        <v>0</v>
      </c>
      <c r="H21" s="6" t="s">
        <v>70</v>
      </c>
      <c r="L21" s="6"/>
    </row>
    <row r="22" spans="1:12" s="83" customFormat="1" ht="12.75" customHeight="1">
      <c r="A22" s="81"/>
      <c r="B22" s="82" t="str">
        <f>+Faworyt!B25</f>
        <v>kód</v>
      </c>
      <c r="C22" s="82" t="str">
        <f>+Faworyt!C25</f>
        <v>názov</v>
      </c>
      <c r="D22" s="82" t="str">
        <f>+Faworyt!D25</f>
        <v>ks</v>
      </c>
      <c r="E22" s="82" t="str">
        <f>+Faworyt!E25</f>
        <v>cena/ks</v>
      </c>
      <c r="F22" s="18" t="str">
        <f>+Faworyt!F25</f>
        <v>cena celkom</v>
      </c>
      <c r="G22" s="18" t="str">
        <f>+Faworyt!G25</f>
        <v>celkom netto:</v>
      </c>
      <c r="H22" s="18"/>
      <c r="I22" s="18" t="str">
        <f>texty!A29</f>
        <v>Poznámka:</v>
      </c>
      <c r="J22" s="18"/>
      <c r="L22" s="18"/>
    </row>
    <row r="23" spans="1:12" ht="12.75" customHeight="1">
      <c r="A23" s="7" t="str">
        <f>+Faworyt!A26</f>
        <v>Horný profil:</v>
      </c>
      <c r="B23" s="8">
        <f>+VLOOKUP(O8,data!$C$176:$D$190,2,0)</f>
        <v>89106</v>
      </c>
      <c r="C23" s="38" t="str">
        <f>+VLOOKUP(B23,cennik!$A:$G,2,FALSE)</f>
        <v>SEVROLL Gemini horné vedenie 1,7m strieborná</v>
      </c>
      <c r="D23" s="8">
        <v>1</v>
      </c>
      <c r="E23" s="219">
        <f>+VLOOKUP(B23,cennik!$A:$G,3,FALSE)</f>
        <v>16.077369999999998</v>
      </c>
      <c r="F23" s="92">
        <f>+E23*D23</f>
        <v>16.077369999999998</v>
      </c>
      <c r="G23" s="93">
        <f>+F23*(100-$G$21)/100</f>
        <v>16.077369999999998</v>
      </c>
      <c r="H23" s="6" t="str">
        <f>cennik!$B$2</f>
        <v>EUR</v>
      </c>
      <c r="I23" s="483" t="str">
        <f>IFERROR(IF((VLOOKUP(B23,cennik!A:L,12,0))="O",texty!$A$250,""),"")</f>
        <v/>
      </c>
      <c r="J23" s="196" t="str">
        <f>IF(D23&gt;0,IF(VLOOKUP(B23,cennik!A:L,12,FALSE)="O",1,""),"")</f>
        <v/>
      </c>
      <c r="L23" s="6"/>
    </row>
    <row r="24" spans="1:12" ht="12.75" customHeight="1">
      <c r="A24" s="7" t="str">
        <f>+Faworyt!A27</f>
        <v>spodný profil:</v>
      </c>
      <c r="B24" s="8">
        <f>+VLOOKUP(O6,data!$C$4:$D$73,2,0)</f>
        <v>84385</v>
      </c>
      <c r="C24" s="38" t="str">
        <f>+VLOOKUP(B24,cennik!$A:$G,2,FALSE)</f>
        <v>SEVROLL Elegant spodné vedenie 1,7m striebor</v>
      </c>
      <c r="D24" s="8">
        <v>1</v>
      </c>
      <c r="E24" s="219">
        <f>+VLOOKUP(B24,cennik!$A:$G,3,FALSE)</f>
        <v>9.0389999999999997</v>
      </c>
      <c r="F24" s="92">
        <f>+E24*D24</f>
        <v>9.0389999999999997</v>
      </c>
      <c r="G24" s="93">
        <f t="shared" ref="G24:G25" si="0">+F24*(100-$G$21)/100</f>
        <v>9.0389999999999997</v>
      </c>
      <c r="H24" s="6" t="str">
        <f>cennik!$B$2</f>
        <v>EUR</v>
      </c>
      <c r="I24" s="483" t="str">
        <f>IFERROR(IF((VLOOKUP(B24,cennik!A:L,12,0))="O",texty!$A$250,""),"")</f>
        <v/>
      </c>
      <c r="J24" s="196" t="str">
        <f>IF(D24&gt;0,IF(VLOOKUP(B24,cennik!A:L,12,FALSE)="O",1,""),"")</f>
        <v/>
      </c>
      <c r="L24" s="6"/>
    </row>
    <row r="25" spans="1:12" ht="12.75" customHeight="1">
      <c r="A25" s="73" t="str">
        <f>+Faworyt!A28</f>
        <v>krycí profil (maska):</v>
      </c>
      <c r="B25" s="8">
        <f>+VLOOKUP(O6,data!$C$90:$D$175,2,0)</f>
        <v>318657</v>
      </c>
      <c r="C25" s="25" t="str">
        <f>IF($B$25=data!$D$54,texty!$A$239,+VLOOKUP($B$25,cennik!$A$3:$G$907,2,FALSE))</f>
        <v>SEV-maska Elegant II 1,7m strieborná</v>
      </c>
      <c r="D25" s="8">
        <v>1</v>
      </c>
      <c r="E25" s="92">
        <f>IF(B25=data!$D$63,0,+VLOOKUP(B25,cennik!$A$3:$G$907,3,FALSE))</f>
        <v>2.8683800000000002</v>
      </c>
      <c r="F25" s="92">
        <f t="shared" ref="F25" si="1">+E25*D25</f>
        <v>2.8683800000000002</v>
      </c>
      <c r="G25" s="93">
        <f t="shared" si="0"/>
        <v>2.8683800000000002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" t="str">
        <f>+Faworyt!A29</f>
        <v>horný vozík</v>
      </c>
      <c r="B26" s="72">
        <v>228023</v>
      </c>
      <c r="C26" s="38" t="str">
        <f>+VLOOKUP(B26,cennik!$A:$G,2,FALSE)</f>
        <v>SEVROLL Focus horný vozík 18mm - 2ks</v>
      </c>
      <c r="D26" s="17">
        <f>IF((D40+D39)&gt;D4,0,D4-(D39+D40))</f>
        <v>3</v>
      </c>
      <c r="E26" s="219">
        <f>+VLOOKUP(B26,cennik!$A:$G,3,FALSE)</f>
        <v>4.0494700000000003</v>
      </c>
      <c r="F26" s="92">
        <f>+E26*D26</f>
        <v>12.148410000000002</v>
      </c>
      <c r="G26" s="93">
        <f>+F26*(100-$G$21)/100</f>
        <v>12.148410000000002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" t="str">
        <f>+Faworyt!A30</f>
        <v>spodný vozík</v>
      </c>
      <c r="B27" s="16">
        <f>IF(F4=M62,362316,229440)</f>
        <v>362316</v>
      </c>
      <c r="C27" s="38" t="str">
        <f>+VLOOKUP(B27,cennik!$A:$G,2,FALSE)</f>
        <v>SEV-2x spodný vozík DTD 18mm, bez pozicionéru, bez pružiny</v>
      </c>
      <c r="D27" s="17">
        <f>+D4</f>
        <v>3</v>
      </c>
      <c r="E27" s="219">
        <f>+VLOOKUP(B27,cennik!$A:$G,3,FALSE)</f>
        <v>4.5556599999999996</v>
      </c>
      <c r="F27" s="92">
        <f>+E27*D27</f>
        <v>13.666979999999999</v>
      </c>
      <c r="G27" s="93">
        <f>+F27*(100-$G$21)/100</f>
        <v>13.666979999999999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+Faworyt!A31</f>
        <v>dorazový kartáč</v>
      </c>
      <c r="B28" s="16">
        <v>229433</v>
      </c>
      <c r="C28" s="38" t="str">
        <f>+VLOOKUP(B28,cennik!$A:$G,2,FALSE)</f>
        <v>SEVROLL dorazový kartáč zásuvný 4,8x4mm</v>
      </c>
      <c r="D28" s="17">
        <f>CEILING((B4*D4*2/1000),1)</f>
        <v>0</v>
      </c>
      <c r="E28" s="219">
        <f>+VLOOKUP(B28,cennik!$A:$G,3,FALSE)</f>
        <v>6.4699999999999994E-2</v>
      </c>
      <c r="F28" s="92">
        <f>+E28*D28</f>
        <v>0</v>
      </c>
      <c r="G28" s="93">
        <f>+F28*(100-$G$21)/100</f>
        <v>0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+Faworyt!A32</f>
        <v>úchytková lišta</v>
      </c>
      <c r="B29" s="16">
        <v>233428</v>
      </c>
      <c r="C29" s="38" t="str">
        <f>+VLOOKUP(B29,cennik!$A:$G,2,FALSE)</f>
        <v>ASTIN Fiona II úch.lišta 2,7m strieborná</v>
      </c>
      <c r="D29" s="17">
        <f>IF(B9&lt;=1285,D4*2/2,D4*2)</f>
        <v>3</v>
      </c>
      <c r="E29" s="219">
        <f>+VLOOKUP(B29,cennik!$A:$G,3,FALSE)</f>
        <v>13.425929999999999</v>
      </c>
      <c r="F29" s="92">
        <f>+E29*D29</f>
        <v>40.277789999999996</v>
      </c>
      <c r="G29" s="93">
        <f>+F29*(100-$G$21)/100</f>
        <v>40.277789999999996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/>
      <c r="B30" s="16"/>
      <c r="C30" s="25"/>
      <c r="D30" s="17"/>
      <c r="E30" s="92"/>
      <c r="F30" s="92"/>
      <c r="G30" s="93"/>
      <c r="H30" s="6"/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132" t="str">
        <f>+Faworyt!A34</f>
        <v>Voliteľné príslušenstvo:</v>
      </c>
      <c r="B31" s="16"/>
      <c r="C31" s="25"/>
      <c r="D31" s="492" t="str">
        <f>+Faworyt!D34</f>
        <v>zadajte počet:</v>
      </c>
      <c r="E31" s="92"/>
      <c r="F31" s="92"/>
      <c r="G31" s="93"/>
      <c r="H31" s="6"/>
      <c r="I31" s="483" t="str">
        <f>IFERROR(IF((VLOOKUP(B31,cennik!A:L,12,0))="O",texty!$A$250,""),"")</f>
        <v/>
      </c>
      <c r="J31" s="196"/>
      <c r="L31" s="6"/>
    </row>
    <row r="32" spans="1:12" ht="12.75" customHeight="1">
      <c r="A32" s="7" t="str">
        <f>texty!$A$88</f>
        <v>pozicionér do horného vedenia</v>
      </c>
      <c r="B32" s="192">
        <v>298035</v>
      </c>
      <c r="C32" s="38" t="str">
        <f>+VLOOKUP(B32,cennik!$A:$G,2,FALSE)</f>
        <v>SEVROLL Fix pozicionér pre horný vozík tran.</v>
      </c>
      <c r="D32" s="29"/>
      <c r="E32" s="219">
        <f>+VLOOKUP(B32,cennik!$A:$G,3,FALSE)</f>
        <v>1.0605800000000001</v>
      </c>
      <c r="F32" s="106">
        <f>+E32*D32</f>
        <v>0</v>
      </c>
      <c r="G32" s="105">
        <f t="shared" ref="G32:G54" si="2">+F32*(100-$F$21)/100</f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L32" s="6"/>
    </row>
    <row r="33" spans="1:12" ht="12.75" customHeight="1">
      <c r="A33" s="7" t="str">
        <f>texty!$A$111</f>
        <v xml:space="preserve">pozicionér </v>
      </c>
      <c r="B33" s="16">
        <f>IF(F4="Gemini",387424,89063)</f>
        <v>89063</v>
      </c>
      <c r="C33" s="38" t="str">
        <f>+VLOOKUP(B33,cennik!$A:$G,2,FALSE)</f>
        <v>SEV - pozicionér HI-TEC</v>
      </c>
      <c r="D33" s="29"/>
      <c r="E33" s="219">
        <f>+VLOOKUP(B33,cennik!$A:$G,3,FALSE)</f>
        <v>0.31335000000000002</v>
      </c>
      <c r="F33" s="106">
        <f t="shared" ref="F33:F54" si="3">+E33*D33</f>
        <v>0</v>
      </c>
      <c r="G33" s="105">
        <f t="shared" si="2"/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L33" s="6"/>
    </row>
    <row r="34" spans="1:12" ht="12.75" customHeight="1">
      <c r="A34" s="436" t="str">
        <f>texty!$A$228</f>
        <v> Tlmič dorazu MINI do 25 kg (pár)</v>
      </c>
      <c r="B34" s="16">
        <v>318662</v>
      </c>
      <c r="C34" s="25" t="str">
        <f>+VLOOKUP(B34,cennik!$A:$G,2,FALSE)</f>
        <v>SEVROLL tlmič dorazu Mini SV25 - 2ks</v>
      </c>
      <c r="D34" s="387"/>
      <c r="E34" s="92">
        <f>+VLOOKUP(B34,cennik!$A:$G,3,FALSE)</f>
        <v>22.368510000000001</v>
      </c>
      <c r="F34" s="97">
        <f>+CEILING(D34,1)*E34</f>
        <v>0</v>
      </c>
      <c r="G34" s="105">
        <f t="shared" si="2"/>
        <v>0</v>
      </c>
      <c r="H34" s="24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6"/>
    </row>
    <row r="35" spans="1:12" ht="12.75" customHeight="1">
      <c r="A35" s="436" t="str">
        <f>texty!$A$229</f>
        <v> Tlmič dorazu MINI do 40 kg (pár)</v>
      </c>
      <c r="B35" s="24">
        <v>283956</v>
      </c>
      <c r="C35" s="25" t="str">
        <f>+VLOOKUP(B35,cennik!$A:$G,2,FALSE)</f>
        <v>SEVROLL tlmič dorazu Mini SV40 - 2ks</v>
      </c>
      <c r="D35" s="387"/>
      <c r="E35" s="92">
        <f>+VLOOKUP(B35,cennik!$A:$G,3,FALSE)</f>
        <v>22.368510000000001</v>
      </c>
      <c r="F35" s="97">
        <f>+CEILING(D35,1)*E35</f>
        <v>0</v>
      </c>
      <c r="G35" s="105">
        <f t="shared" si="2"/>
        <v>0</v>
      </c>
      <c r="H35" s="24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</row>
    <row r="36" spans="1:12" ht="12.75" customHeight="1">
      <c r="A36" s="436" t="str">
        <f>texty!$A$230</f>
        <v> Tlmič dorazu MINI do 60 kg (pár)</v>
      </c>
      <c r="B36" s="24">
        <v>351743</v>
      </c>
      <c r="C36" s="25" t="str">
        <f>+VLOOKUP(B36,cennik!$A:$G,2,FALSE)</f>
        <v/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</row>
    <row r="37" spans="1:12" ht="12.75" customHeight="1">
      <c r="A37" s="436" t="str">
        <f>texty!$A$231</f>
        <v> Tlmič pre stredné krídlo do 25 kg</v>
      </c>
      <c r="B37" s="24">
        <v>318663</v>
      </c>
      <c r="C37" s="25" t="str">
        <f>+VLOOKUP(B37,cennik!$A:$G,2,FALSE)</f>
        <v>SEVROLL tlmič Central 10/18mm obojst. 25 kg</v>
      </c>
      <c r="D37" s="387"/>
      <c r="E37" s="92">
        <f>+VLOOKUP(B37,cennik!$A:$G,3,FALSE)</f>
        <v>47.918750000000003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</row>
    <row r="38" spans="1:12" ht="12.75" customHeight="1">
      <c r="A38" s="436" t="str">
        <f>texty!$A$232</f>
        <v> Tlmič pre stredné krídlo do 40 kg</v>
      </c>
      <c r="B38" s="24">
        <v>283955</v>
      </c>
      <c r="C38" s="25" t="str">
        <f>+VLOOKUP(B38,cennik!$A:$G,2,FALSE)</f>
        <v>SEVROLL tlmič Central 10/18mm obojst.25-40kg</v>
      </c>
      <c r="D38" s="387"/>
      <c r="E38" s="92">
        <f>+VLOOKUP(B38,cennik!$A:$G,3,FALSE)</f>
        <v>47.918750000000003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</row>
    <row r="39" spans="1:12" ht="12.75" customHeight="1">
      <c r="A39" s="7" t="str">
        <f>texty!$A$97</f>
        <v>tlmič dorazu (pár) 25 kg</v>
      </c>
      <c r="B39" s="24">
        <v>227185</v>
      </c>
      <c r="C39" s="38" t="str">
        <f>+VLOOKUP(B39,cennik!$A:$G,2,FALSE)</f>
        <v>K-SEVROLL tlmič dorazu 10/18mm 14-25kg(L+P)</v>
      </c>
      <c r="D39" s="29"/>
      <c r="E39" s="219">
        <f>+VLOOKUP(B39,cennik!$A:$G,3,FALSE)</f>
        <v>0</v>
      </c>
      <c r="F39" s="106">
        <f>+E39*D39</f>
        <v>0</v>
      </c>
      <c r="G39" s="105">
        <f t="shared" si="2"/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</row>
    <row r="40" spans="1:12" ht="12.75" customHeight="1">
      <c r="A40" s="7" t="str">
        <f>texty!$A$98</f>
        <v>tlmič dorazu (pár) 50 kg</v>
      </c>
      <c r="B40" s="24">
        <v>227187</v>
      </c>
      <c r="C40" s="38" t="str">
        <f>+VLOOKUP(B40,cennik!$A:$G,2,FALSE)</f>
        <v>K-SEVROLL tlmič dorazu 10/18mm 25-50kg(L+P)</v>
      </c>
      <c r="D40" s="29"/>
      <c r="E40" s="219">
        <f>+VLOOKUP(B40,cennik!$A:$G,3,FALSE)</f>
        <v>0</v>
      </c>
      <c r="F40" s="106">
        <f>+E40*D40</f>
        <v>0</v>
      </c>
      <c r="G40" s="105">
        <f t="shared" si="2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3"/>
    </row>
    <row r="41" spans="1:12" ht="12.75" customHeight="1">
      <c r="A41" s="7" t="str">
        <f>texty!$A$196</f>
        <v>Spona dorazovej kefky</v>
      </c>
      <c r="B41" s="16">
        <v>223569</v>
      </c>
      <c r="C41" s="38" t="str">
        <f>+VLOOKUP(B41,cennik!$A:$G,2,FALSE)</f>
        <v>SEVROLL spona dorazového kartáča</v>
      </c>
      <c r="D41" s="29"/>
      <c r="E41" s="219">
        <f>+VLOOKUP(B41,cennik!$A:$G,3,FALSE)</f>
        <v>7.399E-2</v>
      </c>
      <c r="F41" s="106">
        <f t="shared" si="3"/>
        <v>0</v>
      </c>
      <c r="G41" s="105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3"/>
    </row>
    <row r="42" spans="1:12" ht="12.75" customHeight="1">
      <c r="A42" s="146" t="str">
        <f>texty!$A$114</f>
        <v>spojovací profil H18-3metre</v>
      </c>
      <c r="B42" s="16">
        <f>+VLOOKUP($P$7,data!$C$463:$D$472,2,0)</f>
        <v>89010</v>
      </c>
      <c r="C42" s="38" t="str">
        <f>+VLOOKUP(B42,cennik!$A:$G,2,FALSE)</f>
        <v>SEVROLL spojovacia lišta H18 3m strieborná</v>
      </c>
      <c r="D42" s="29"/>
      <c r="E42" s="219">
        <f>+VLOOKUP(B42,cennik!$A:$G,3,FALSE)</f>
        <v>13.89648</v>
      </c>
      <c r="F42" s="106">
        <f t="shared" si="3"/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3"/>
    </row>
    <row r="43" spans="1:12" ht="12.75" customHeight="1">
      <c r="A43" s="146" t="str">
        <f>texty!$A$115</f>
        <v>spojovací T profil - 3metre /s drážkou/</v>
      </c>
      <c r="B43" s="16">
        <f>+VLOOKUP($P$7,data!$C$473:$D$482,2,0)</f>
        <v>89188</v>
      </c>
      <c r="C43" s="38" t="str">
        <f>IF(B43=data!$D$54,texty!$A$239,+VLOOKUP(B43,cennik!$A$3:$G$907,2,FALSE))</f>
        <v>SEVROLL spojovaciá lišta "T" 3m strieborná</v>
      </c>
      <c r="D43" s="29"/>
      <c r="E43" s="92">
        <f>IF(B43=data!$D$63,0,+VLOOKUP(B43,cennik!$A$3:$G$907,3,FALSE))</f>
        <v>10.629860000000001</v>
      </c>
      <c r="F43" s="92">
        <f t="shared" si="3"/>
        <v>0</v>
      </c>
      <c r="G43" s="105">
        <f t="shared" si="2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3"/>
    </row>
    <row r="44" spans="1:12" ht="12.75" customHeight="1">
      <c r="A44" s="146" t="str">
        <f>texty!$A$116</f>
        <v>spojovací T profil - 3metre /s lemom/</v>
      </c>
      <c r="B44" s="16">
        <f>+VLOOKUP($P$7,data!$C$483:$D$492,2,0)</f>
        <v>89013</v>
      </c>
      <c r="C44" s="38" t="str">
        <f>IF(B44=data!$D$54,texty!$A$239,+VLOOKUP(B44,cennik!$A$3:$G$907,2,FALSE))</f>
        <v>SEVROLL spojovacia lišta T Decor 3m striebor</v>
      </c>
      <c r="D44" s="29"/>
      <c r="E44" s="92">
        <f>IF(B44=data!$D$63,0,+VLOOKUP(B44,cennik!$A$3:$G$907,3,FALSE))</f>
        <v>9.5692900000000005</v>
      </c>
      <c r="F44" s="92">
        <f t="shared" si="3"/>
        <v>0</v>
      </c>
      <c r="G44" s="105">
        <f t="shared" si="2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3"/>
    </row>
    <row r="45" spans="1:12" ht="12.75" customHeight="1">
      <c r="A45" s="146" t="str">
        <f>texty!$A$117</f>
        <v>"U" profil na DTD 18mm - 3 metre /hladký/</v>
      </c>
      <c r="B45" s="6">
        <f>+VLOOKUP($P$7,data!$C$493:$D$502,2,0)</f>
        <v>89269</v>
      </c>
      <c r="C45" s="38" t="str">
        <f>+VLOOKUP(B45,cennik!$A:$G,2,FALSE)</f>
        <v>SEVROLL profil "U" pre DTD 18mm 3m striebor</v>
      </c>
      <c r="D45" s="29"/>
      <c r="E45" s="219">
        <f>+VLOOKUP(B45,cennik!$A:$G,3,FALSE)</f>
        <v>5.0618400000000001</v>
      </c>
      <c r="F45" s="106">
        <f t="shared" si="3"/>
        <v>0</v>
      </c>
      <c r="G45" s="105">
        <f t="shared" si="2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3"/>
    </row>
    <row r="46" spans="1:12" ht="12.75" customHeight="1">
      <c r="A46" s="146" t="str">
        <f>texty!$A$118</f>
        <v>"U" profil na DTD 18mm - 3 metre /lem/</v>
      </c>
      <c r="B46" s="16">
        <f>+VLOOKUP($P$7,data!$C$502:$D$512,2,0)</f>
        <v>89016</v>
      </c>
      <c r="C46" s="38" t="str">
        <f>IF(B46=data!$D$54,texty!$A$239,+VLOOKUP(B46,cennik!$A$3:$G$907,2,FALSE))</f>
        <v>SEVROLL profil "U" Decor 18mm 3m strieborná</v>
      </c>
      <c r="D46" s="29"/>
      <c r="E46" s="92">
        <f>IF(B46=data!$D$63,0,+VLOOKUP(B46,cennik!$A$3:$G$907,3,FALSE))</f>
        <v>7.1588900000000004</v>
      </c>
      <c r="F46" s="92">
        <f t="shared" si="3"/>
        <v>0</v>
      </c>
      <c r="G46" s="105">
        <f t="shared" si="2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3"/>
    </row>
    <row r="47" spans="1:12" ht="12.75" customHeight="1">
      <c r="A47" s="146" t="str">
        <f>texty!$A$119</f>
        <v>uholník mini 11x17mm - 1,7m</v>
      </c>
      <c r="B47" s="6">
        <f>+VLOOKUP($P$7,data!$C$513:$D$522,2,0)</f>
        <v>89134</v>
      </c>
      <c r="C47" s="38" t="str">
        <f>IF(B47=data!$D$54,texty!$A$239,+VLOOKUP(B47,cennik!$A$3:$G$907,2,FALSE))</f>
        <v>SEVROLL-182 UHOLNÍK 17*11 STRIEBOR. 1,7M</v>
      </c>
      <c r="D47" s="29"/>
      <c r="E47" s="92">
        <f>IF(B47=data!$D$63,0,+VLOOKUP(B47,cennik!$A$3:$G$907,3,FALSE))</f>
        <v>2.5309200000000001</v>
      </c>
      <c r="F47" s="92">
        <f>+E47*D47</f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</row>
    <row r="48" spans="1:12" ht="12.75" customHeight="1">
      <c r="A48" s="146" t="str">
        <f>texty!$A$120</f>
        <v>uholník mini 11x17mm - 2,35m</v>
      </c>
      <c r="B48" s="6">
        <f>+VLOOKUP($P$7,data!$C$523:$D$532,2,0)</f>
        <v>89137</v>
      </c>
      <c r="C48" s="38" t="str">
        <f>IF(B48=data!$D$54,texty!$A$239,+VLOOKUP(B48,cennik!$A$3:$G$907,2,FALSE))</f>
        <v>SEVROLL-183 UHOLNÍK 17*11 STRIEBOR. 2,35</v>
      </c>
      <c r="D48" s="29"/>
      <c r="E48" s="92">
        <f>IF(B48=data!$D$63,0,+VLOOKUP(B48,cennik!$A$3:$G$907,3,FALSE))</f>
        <v>3.5673900000000001</v>
      </c>
      <c r="F48" s="92">
        <f>+E48*D48</f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</row>
    <row r="49" spans="1:14" ht="12.75" customHeight="1">
      <c r="A49" s="146" t="str">
        <f>texty!$A$121</f>
        <v>uholník mini 11x17mm - 3m</v>
      </c>
      <c r="B49" s="15">
        <f>+VLOOKUP($P$7,data!$C$533:$D$542,2,0)</f>
        <v>89140</v>
      </c>
      <c r="C49" s="38" t="str">
        <f>IF(B49=data!$D$54,texty!$A$239,+VLOOKUP(B49,cennik!$A$3:$G$907,2,FALSE))</f>
        <v>SEVROLL-184 UHOLNÍK 17*11 STRIEBOR. 3M</v>
      </c>
      <c r="D49" s="29"/>
      <c r="E49" s="92">
        <f>IF(B49=data!$D$63,0,+VLOOKUP(B49,cennik!$A$3:$G$907,3,FALSE))</f>
        <v>4.4833400000000001</v>
      </c>
      <c r="F49" s="92">
        <f>+E49*D49</f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6"/>
    </row>
    <row r="50" spans="1:14" ht="12.75" customHeight="1">
      <c r="A50" s="146" t="str">
        <f>texty!$A$122</f>
        <v>uholník K2 19x18mm - 1,7m</v>
      </c>
      <c r="B50" s="24">
        <f>+VLOOKUP($P$7,data!$C$543:$D$552,2,0)</f>
        <v>89050</v>
      </c>
      <c r="C50" s="38" t="str">
        <f>IF(B50=data!$D$54,texty!$A$239,+VLOOKUP(B50,cennik!$A$3:$G$907,2,FALSE))</f>
        <v>SEVROLL-278 UHOLNÍK K2 1,70M STRIEBORNÁ</v>
      </c>
      <c r="D50" s="29"/>
      <c r="E50" s="92">
        <f>IF(B50=data!$D$63,0,+VLOOKUP(B50,cennik!$A$3:$G$907,3,FALSE))</f>
        <v>3.7843300000000002</v>
      </c>
      <c r="F50" s="92">
        <f>+E50*D50</f>
        <v>0</v>
      </c>
      <c r="G50" s="105">
        <f t="shared" si="2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L50" s="6"/>
    </row>
    <row r="51" spans="1:14" ht="12.75" customHeight="1">
      <c r="A51" s="146" t="str">
        <f>texty!$A$123</f>
        <v>uholník K2 19x18mm - 2,35m</v>
      </c>
      <c r="B51" s="16">
        <f>+VLOOKUP($P$7,data!$C$553:$D$562,2,0)</f>
        <v>89053</v>
      </c>
      <c r="C51" s="38" t="str">
        <f>IF(B51=data!$D$54,texty!$A$239,+VLOOKUP(B51,cennik!$A$3:$G$907,2,FALSE))</f>
        <v>SEVROLL uholník K2 Decor 2,35m strieborná</v>
      </c>
      <c r="D51" s="30"/>
      <c r="E51" s="92">
        <f>IF(B51=data!$D$63,0,+VLOOKUP(B51,cennik!$A$3:$G$907,3,FALSE))</f>
        <v>5.25467</v>
      </c>
      <c r="F51" s="92">
        <f t="shared" si="3"/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L51" s="6"/>
    </row>
    <row r="52" spans="1:14" ht="12.75" customHeight="1">
      <c r="A52" s="146" t="str">
        <f>texty!$A$124</f>
        <v>uholník K2 19x18mm - 3,00m</v>
      </c>
      <c r="B52" s="16">
        <f>+VLOOKUP($P$7,data!$C$563:$D$572,2,0)</f>
        <v>89056</v>
      </c>
      <c r="C52" s="38" t="str">
        <f>IF(B52=data!$D$54,texty!$A$239,+VLOOKUP(B52,cennik!$A$3:$G$907,2,FALSE))</f>
        <v>SEVROLL uholník K2 Decor 3m strieborná</v>
      </c>
      <c r="D52" s="30"/>
      <c r="E52" s="92">
        <f>IF(B52=data!$D$63,0,+VLOOKUP(B52,cennik!$A$3:$G$907,3,FALSE))</f>
        <v>6.7009100000000004</v>
      </c>
      <c r="F52" s="92">
        <f t="shared" si="3"/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</row>
    <row r="53" spans="1:14" ht="12.75" customHeight="1">
      <c r="A53" s="436" t="str">
        <f>texty!$A$240</f>
        <v>zámok posuvných dverí</v>
      </c>
      <c r="B53" s="24">
        <v>216363</v>
      </c>
      <c r="C53" s="38" t="str">
        <f>+VLOOKUP(B53,cennik!$A:$G,2,FALSE)</f>
        <v>SEVROLL zámok na posuvné dvere 18 mm</v>
      </c>
      <c r="D53" s="29"/>
      <c r="E53" s="219">
        <f>+VLOOKUP(B53,cennik!$A:$G,3,FALSE)</f>
        <v>17.186150000000001</v>
      </c>
      <c r="F53" s="106">
        <f t="shared" si="3"/>
        <v>0</v>
      </c>
      <c r="G53" s="105">
        <f t="shared" si="2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L53" s="6"/>
    </row>
    <row r="54" spans="1:14" ht="12.75" customHeight="1">
      <c r="A54" s="7" t="str">
        <f>texty!$A$112</f>
        <v>protiprachový kartáč samolepiaci</v>
      </c>
      <c r="B54" s="24">
        <v>308639</v>
      </c>
      <c r="C54" s="25" t="str">
        <f>+VLOOKUP(B54,cennik!$A:$G,2,FALSE)</f>
        <v>SEVROLL protiprachový kartáč samolep. 6,7x13mm</v>
      </c>
      <c r="D54" s="29"/>
      <c r="E54" s="219">
        <f>+VLOOKUP(B54,cennik!$A:$G,3,FALSE)</f>
        <v>0.28210000000000002</v>
      </c>
      <c r="F54" s="106">
        <f t="shared" si="3"/>
        <v>0</v>
      </c>
      <c r="G54" s="105">
        <f t="shared" si="2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L54" s="6"/>
    </row>
    <row r="55" spans="1:14" ht="12.75" customHeight="1">
      <c r="A55" s="7"/>
      <c r="B55" s="24"/>
      <c r="C55" s="25"/>
      <c r="D55" s="286"/>
      <c r="E55" s="219"/>
      <c r="F55" s="106"/>
      <c r="G55" s="105"/>
      <c r="H55" s="6"/>
      <c r="I55" s="186"/>
      <c r="J55" s="196"/>
      <c r="L55" s="6"/>
    </row>
    <row r="56" spans="1:14" ht="16">
      <c r="A56" s="285" t="str">
        <f>texty!$A$190</f>
        <v>Ďalšie príslušenstvo</v>
      </c>
      <c r="B56" s="286"/>
      <c r="C56" s="286"/>
      <c r="D56" s="286"/>
      <c r="E56" s="286"/>
      <c r="F56" s="286"/>
      <c r="G56" s="286"/>
      <c r="H56" s="286"/>
      <c r="I56" s="286"/>
      <c r="J56" s="286"/>
      <c r="K56" s="135"/>
      <c r="L56" s="6"/>
    </row>
    <row r="57" spans="1:14" ht="12.75" customHeight="1">
      <c r="A57" s="285" t="str">
        <f>texty!$A$244</f>
        <v>Technický nákres tohoto systému</v>
      </c>
      <c r="C57" s="40"/>
      <c r="D57" s="79" t="str">
        <f>+Faworyt!D61</f>
        <v>CELKOM  (bez DPH)</v>
      </c>
      <c r="E57" s="116"/>
      <c r="F57" s="117">
        <f>SUM(F23:F54)</f>
        <v>94.077929999999995</v>
      </c>
      <c r="G57" s="117">
        <f>SUM(G23:G54)</f>
        <v>94.077929999999995</v>
      </c>
      <c r="H57" s="6" t="str">
        <f>cennik!$B$2</f>
        <v>EUR</v>
      </c>
      <c r="L57" s="6"/>
    </row>
    <row r="58" spans="1:14" ht="12.75" customHeight="1">
      <c r="A58" s="76" t="str">
        <f>System10!$A$67</f>
        <v>Vaša poznámka:</v>
      </c>
      <c r="B58" s="670"/>
      <c r="C58" s="671"/>
      <c r="D58" s="671"/>
      <c r="E58" s="671"/>
      <c r="F58" s="671"/>
      <c r="G58" s="672"/>
      <c r="H58" s="6"/>
      <c r="L58" s="6"/>
    </row>
    <row r="59" spans="1:14" ht="12.75" customHeight="1">
      <c r="A59" s="668">
        <f>profil!$U$15</f>
        <v>0</v>
      </c>
      <c r="B59" s="658"/>
      <c r="C59" s="658"/>
      <c r="D59" s="658"/>
      <c r="E59" s="658"/>
      <c r="F59" s="658"/>
      <c r="G59" s="658"/>
      <c r="H59" s="658"/>
      <c r="L59" s="6"/>
    </row>
    <row r="60" spans="1:14" ht="12.75" customHeight="1">
      <c r="A60" s="659" t="str">
        <f>IF(N60=1,texty!$A$215,IF(J60&gt;0,texty!$A$214,""))</f>
        <v/>
      </c>
      <c r="B60" s="659"/>
      <c r="C60" s="659"/>
      <c r="D60" s="659"/>
      <c r="E60" s="659"/>
      <c r="F60" s="659"/>
      <c r="G60" s="659"/>
      <c r="H60" s="659"/>
      <c r="J60" s="6">
        <f>SUM(J23:J54)</f>
        <v>0</v>
      </c>
      <c r="L60" s="6"/>
      <c r="N60" s="5">
        <f>IF(ISERROR(J60),1,0)</f>
        <v>0</v>
      </c>
    </row>
    <row r="61" spans="1:14" ht="12.75" customHeight="1">
      <c r="A61" s="64"/>
      <c r="L61" s="6"/>
    </row>
    <row r="62" spans="1:14" ht="12.75" customHeight="1">
      <c r="L62" s="5" t="str">
        <f>texty!A128</f>
        <v xml:space="preserve">strieborná </v>
      </c>
      <c r="M62" s="21" t="s">
        <v>2884</v>
      </c>
    </row>
    <row r="63" spans="1:14" ht="12.75" customHeight="1">
      <c r="M63" s="21" t="s">
        <v>45</v>
      </c>
    </row>
    <row r="64" spans="1:14" ht="12.75" customHeight="1"/>
  </sheetData>
  <sheetProtection algorithmName="SHA-512" hashValue="ymqiqi4W2cfxsxyEjc87z5qF9cUZU4rMWv3HkJFPJdd/9e5iktR6SDBdFnkL9BDlD/2mZZfm9fKSjzwhWcMRxQ==" saltValue="JYWPC/QOQJaYOimnt42jkA==" spinCount="100000" sheet="1" objects="1" scenarios="1"/>
  <mergeCells count="8">
    <mergeCell ref="A60:H60"/>
    <mergeCell ref="B5:E5"/>
    <mergeCell ref="A59:H59"/>
    <mergeCell ref="B58:G58"/>
    <mergeCell ref="G4:I6"/>
    <mergeCell ref="I14:I15"/>
    <mergeCell ref="I16:I17"/>
    <mergeCell ref="A11:B12"/>
  </mergeCells>
  <conditionalFormatting sqref="D6">
    <cfRule type="expression" dxfId="73" priority="7">
      <formula>$D$4=4</formula>
    </cfRule>
    <cfRule type="expression" dxfId="72" priority="8">
      <formula>$D$4&lt;&gt;4</formula>
    </cfRule>
  </conditionalFormatting>
  <conditionalFormatting sqref="G4">
    <cfRule type="expression" dxfId="71" priority="6">
      <formula>$D$4=4</formula>
    </cfRule>
  </conditionalFormatting>
  <conditionalFormatting sqref="I14:I15">
    <cfRule type="expression" dxfId="70" priority="5">
      <formula>$F$4=$M$63</formula>
    </cfRule>
  </conditionalFormatting>
  <conditionalFormatting sqref="I16:I17">
    <cfRule type="expression" dxfId="69" priority="41">
      <formula>$F$4=$M$62</formula>
    </cfRule>
  </conditionalFormatting>
  <conditionalFormatting sqref="A11">
    <cfRule type="expression" dxfId="68" priority="3">
      <formula>SUM($D$37:$D$38)&gt;0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:F6" xr:uid="{00000000-0002-0000-1E00-000002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EE9C10A-D194-4F10-8D80-C930973572A1}">
            <xm:f>$I23=texty!$A$250</xm:f>
            <x14:dxf>
              <font>
                <color rgb="FFFF0000"/>
              </font>
            </x14:dxf>
          </x14:cfRule>
          <xm:sqref>I23:I54</xm:sqref>
        </x14:conditionalFormatting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A23:H54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5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5" style="5" customWidth="1"/>
    <col min="2" max="2" width="15.83203125" style="5" customWidth="1"/>
    <col min="3" max="3" width="46.5" style="5" bestFit="1" customWidth="1"/>
    <col min="4" max="4" width="14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-8.8000000000000007</v>
      </c>
    </row>
    <row r="2" spans="1:16" ht="18.75" customHeight="1">
      <c r="A2" s="538" t="s">
        <v>121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",5,".",67)</f>
        <v>katalóg kovania 2018 str. 5.67</v>
      </c>
      <c r="B3" s="434" t="str">
        <f>CONCATENATE(texty!A34," / max.        2 742 mm /")</f>
        <v>výška / max.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434" t="str">
        <f>texty!B38</f>
        <v>typ spodního vedení</v>
      </c>
      <c r="G3" s="6"/>
      <c r="H3" s="6"/>
      <c r="L3" s="6"/>
    </row>
    <row r="4" spans="1:16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472" t="s">
        <v>2884</v>
      </c>
      <c r="G4" s="656"/>
      <c r="H4" s="656"/>
      <c r="I4" s="656"/>
      <c r="K4" s="195"/>
      <c r="L4" s="8"/>
    </row>
    <row r="5" spans="1:16" ht="18" customHeight="1">
      <c r="A5" s="10"/>
      <c r="B5" s="673" t="str">
        <f>+System10!B5</f>
        <v>vypíšte týchto 5 políčok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>
        <f>IF(C4&lt;1701,1700,IF(C4&lt;2351,2350,IF(C4&lt;3001,3000,IF(C4&lt;4051,4050,6000))))</f>
        <v>1700</v>
      </c>
      <c r="N5" s="21"/>
      <c r="O5" s="17">
        <f>IF(C4&lt;1701,1700,IF(C4&lt;2351,2350,IF(C4&lt;3001,3000,IF(C4&lt;4051,4050,6000))))</f>
        <v>1700</v>
      </c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 t="str">
        <f>CONCATENATE(M5,"-",E4)</f>
        <v xml:space="preserve">1700-strieborná </v>
      </c>
      <c r="N6" s="21"/>
      <c r="O6" s="23" t="str">
        <f>CONCATENATE(O5,"-",E4,", ",F4)</f>
        <v>1700-strieborná , Elegant II</v>
      </c>
    </row>
    <row r="7" spans="1:16" ht="12.75" customHeight="1">
      <c r="A7" s="10" t="str">
        <f>texty!A47</f>
        <v>krídlo dverí:</v>
      </c>
      <c r="B7" s="57">
        <f>+B4-42</f>
        <v>-42</v>
      </c>
      <c r="C7" s="59">
        <f>+((C4-3+32*(D4-1))/D4+IF(AND(D4=4,D6=2),M1,0))</f>
        <v>20.333333333333332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</row>
    <row r="8" spans="1:16" ht="12.75" customHeight="1">
      <c r="A8" s="10" t="str">
        <f>texty!A48</f>
        <v>rozmer výplne 18mm:</v>
      </c>
      <c r="B8" s="57">
        <f>+B7-2</f>
        <v>-44</v>
      </c>
      <c r="C8" s="59">
        <f>+C7-7</f>
        <v>13.333333333333332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16" ht="12.75" customHeight="1">
      <c r="A9" s="10" t="str">
        <f>texty!A49</f>
        <v>rozmer výplne 12mm:</v>
      </c>
      <c r="B9" s="57">
        <f>+B8</f>
        <v>-44</v>
      </c>
      <c r="C9" s="59">
        <f>+C7-7</f>
        <v>13.333333333333332</v>
      </c>
      <c r="D9" s="8"/>
      <c r="E9" s="8"/>
      <c r="F9" s="8"/>
      <c r="G9" s="51"/>
      <c r="H9" s="6"/>
      <c r="L9" s="37"/>
      <c r="M9" s="36"/>
    </row>
    <row r="10" spans="1:16" ht="12.75" customHeight="1">
      <c r="A10" s="10" t="str">
        <f>texty!A50</f>
        <v>rozmer zrkadla /na DTD 12mm/</v>
      </c>
      <c r="B10" s="61">
        <f>+B8-4</f>
        <v>-48</v>
      </c>
      <c r="C10" s="66">
        <f>+C9-4</f>
        <v>9.3333333333333321</v>
      </c>
      <c r="D10" s="8"/>
      <c r="E10" s="8"/>
      <c r="F10" s="8"/>
      <c r="G10" s="49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68">
        <f>B8+2</f>
        <v>-42</v>
      </c>
      <c r="C11" s="138"/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IF(B7&gt;2400,texty!A194,IF(C7&gt;700,texty!A194,""))</f>
        <v/>
      </c>
      <c r="C12" s="86"/>
      <c r="D12" s="8"/>
      <c r="H12" s="6"/>
      <c r="L12" s="6"/>
    </row>
    <row r="13" spans="1:16" ht="28">
      <c r="A13" s="644" t="str">
        <f>IF(SUM(D39:D40)&gt;0,texty!A246,"")</f>
        <v/>
      </c>
      <c r="B13" s="644"/>
      <c r="C13" s="515" t="str">
        <f>texty!A78</f>
        <v>dodatočné odpočty výšky vypočítaných výplní pri použití deliacich profilov výplne:</v>
      </c>
      <c r="D13" s="8"/>
      <c r="G13" s="6"/>
      <c r="L13" s="35"/>
    </row>
    <row r="14" spans="1:16" ht="17.25" customHeight="1">
      <c r="A14" s="644"/>
      <c r="B14" s="644"/>
      <c r="C14" s="515"/>
      <c r="D14" s="8"/>
      <c r="G14" s="6"/>
      <c r="L14" s="35"/>
    </row>
    <row r="15" spans="1:16" ht="13">
      <c r="A15" s="7"/>
      <c r="B15" s="58"/>
      <c r="C15" s="515"/>
      <c r="D15" s="8"/>
      <c r="G15" s="6"/>
      <c r="L15" s="35"/>
    </row>
    <row r="16" spans="1:16" ht="12.75" customHeight="1">
      <c r="A16" s="193"/>
      <c r="B16" s="65"/>
      <c r="C16" s="169"/>
      <c r="D16" s="8"/>
      <c r="E16" s="8"/>
      <c r="F16" s="8"/>
      <c r="G16" s="6"/>
      <c r="H16" s="6"/>
      <c r="I16" s="647" t="s">
        <v>2890</v>
      </c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H17" s="6"/>
      <c r="I17" s="647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I18" s="648" t="s">
        <v>2891</v>
      </c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H19" s="6"/>
      <c r="I19" s="648"/>
      <c r="L19" s="6"/>
    </row>
    <row r="20" spans="1:12" ht="16.5" customHeight="1">
      <c r="A20" s="10"/>
      <c r="B20" s="8"/>
      <c r="C20" s="8"/>
      <c r="E20" s="8"/>
      <c r="F20" s="8"/>
      <c r="G20" s="6"/>
      <c r="H20" s="6"/>
      <c r="L20" s="6"/>
    </row>
    <row r="21" spans="1:12" ht="16.5" customHeight="1">
      <c r="A21" s="499" t="s">
        <v>2954</v>
      </c>
      <c r="B21" s="520" t="s">
        <v>2961</v>
      </c>
      <c r="C21" s="8"/>
      <c r="D21" s="13"/>
      <c r="E21" s="8"/>
      <c r="F21" s="8"/>
      <c r="G21" s="6"/>
      <c r="H21" s="6"/>
      <c r="L21" s="6"/>
    </row>
    <row r="22" spans="1:12" ht="12.75" customHeight="1">
      <c r="A22" s="7"/>
      <c r="B22" s="8"/>
      <c r="C22" s="8"/>
      <c r="D22" s="8"/>
      <c r="E22" s="8"/>
      <c r="F22" s="6"/>
      <c r="G22" s="135" t="str">
        <f>+System10!G25</f>
        <v>partnerská zľava:</v>
      </c>
      <c r="H22" s="6"/>
      <c r="L22" s="6"/>
    </row>
    <row r="23" spans="1:12" ht="12.75" customHeight="1">
      <c r="A23" s="14" t="str">
        <f>+System10!$A$26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L23" s="6"/>
    </row>
    <row r="24" spans="1:12" s="83" customFormat="1" ht="12.75" customHeight="1">
      <c r="B24" s="82" t="str">
        <f>+System10!B27</f>
        <v>kód</v>
      </c>
      <c r="C24" s="82" t="str">
        <f>+System10!C27</f>
        <v>názov</v>
      </c>
      <c r="D24" s="82" t="str">
        <f>+System10!D27</f>
        <v>ks</v>
      </c>
      <c r="E24" s="82" t="str">
        <f>+System10!E27</f>
        <v>cena/ks</v>
      </c>
      <c r="F24" s="18" t="str">
        <f>+System10!F27</f>
        <v>cena celkom</v>
      </c>
      <c r="G24" s="18" t="str">
        <f>+System10!G27</f>
        <v>celkom netto:</v>
      </c>
      <c r="H24" s="18"/>
      <c r="I24" s="18" t="str">
        <f>texty!A29</f>
        <v>Poznámka:</v>
      </c>
      <c r="J24" s="18"/>
      <c r="L24" s="18"/>
    </row>
    <row r="25" spans="1:12" ht="12.75" customHeight="1">
      <c r="A25" s="7" t="str">
        <f>+Faworyt!A26</f>
        <v>Horný profil:</v>
      </c>
      <c r="B25" s="8">
        <f>+VLOOKUP(O8,data!$C$176:$D$190,2,0)</f>
        <v>89106</v>
      </c>
      <c r="C25" s="38" t="str">
        <f>+VLOOKUP(B25,cennik!$A:$G,2,FALSE)</f>
        <v>SEVROLL Gemini horné vedenie 1,7m strieborná</v>
      </c>
      <c r="D25" s="8">
        <v>1</v>
      </c>
      <c r="E25" s="219">
        <f>+VLOOKUP(B25,cennik!$A:$G,3,FALSE)</f>
        <v>16.077369999999998</v>
      </c>
      <c r="F25" s="92">
        <f>+E25*D25</f>
        <v>16.077369999999998</v>
      </c>
      <c r="G25" s="93">
        <f>+F25*(100-$G$23)/100</f>
        <v>16.077369999999998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" t="str">
        <f>+Faworyt!A27</f>
        <v>spodný profil:</v>
      </c>
      <c r="B26" s="8">
        <f>+VLOOKUP(O6,data!$C$4:$D$73,2,0)</f>
        <v>84385</v>
      </c>
      <c r="C26" s="38" t="str">
        <f>+VLOOKUP(B26,cennik!$A:$G,2,FALSE)</f>
        <v>SEVROLL Elegant spodné vedenie 1,7m striebor</v>
      </c>
      <c r="D26" s="8">
        <v>1</v>
      </c>
      <c r="E26" s="219">
        <f>+VLOOKUP(B26,cennik!$A:$G,3,FALSE)</f>
        <v>9.0389999999999997</v>
      </c>
      <c r="F26" s="92">
        <f>+E26*D26</f>
        <v>9.0389999999999997</v>
      </c>
      <c r="G26" s="93">
        <f t="shared" ref="G26:G31" si="0">+F26*(100-$G$23)/100</f>
        <v>9.0389999999999997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3" t="str">
        <f>+Faworyt!A28</f>
        <v>krycí profil (maska):</v>
      </c>
      <c r="B27" s="8">
        <f>+VLOOKUP(O6,data!$C$90:$D$175,2,0)</f>
        <v>318657</v>
      </c>
      <c r="C27" s="25" t="str">
        <f>IF($B$27=data!$D$54,texty!$A$239,+VLOOKUP($B$27,cennik!$A$3:$G$907,2,FALSE))</f>
        <v>SEV-maska Elegant II 1,7m strieborná</v>
      </c>
      <c r="D27" s="8">
        <v>1</v>
      </c>
      <c r="E27" s="92">
        <f>IF(B27=data!$D$63,0,+VLOOKUP(B27,cennik!$A$3:$G$907,3,FALSE))</f>
        <v>2.8683800000000002</v>
      </c>
      <c r="F27" s="92">
        <f t="shared" ref="F27" si="1">+E27*D27</f>
        <v>2.8683800000000002</v>
      </c>
      <c r="G27" s="93">
        <f t="shared" si="0"/>
        <v>2.8683800000000002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+Faworyt!A29</f>
        <v>horný vozík</v>
      </c>
      <c r="B28" s="72">
        <v>228023</v>
      </c>
      <c r="C28" s="38" t="str">
        <f>+VLOOKUP(B28,cennik!$A:$G,2,FALSE)</f>
        <v>SEVROLL Focus horný vozík 18mm - 2ks</v>
      </c>
      <c r="D28" s="17">
        <f>IF((D42+D41)&gt;D4,0,D4-(D41+D42))</f>
        <v>3</v>
      </c>
      <c r="E28" s="219">
        <f>+VLOOKUP(B28,cennik!$A:$G,3,FALSE)</f>
        <v>4.0494700000000003</v>
      </c>
      <c r="F28" s="92">
        <f>+E28*D28</f>
        <v>12.148410000000002</v>
      </c>
      <c r="G28" s="93">
        <f t="shared" si="0"/>
        <v>12.148410000000002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+Faworyt!A30</f>
        <v>spodný vozík</v>
      </c>
      <c r="B29" s="16">
        <f>IF(F4=M62,362316,229440)</f>
        <v>362316</v>
      </c>
      <c r="C29" s="38" t="str">
        <f>+VLOOKUP(B29,cennik!$A:$G,2,FALSE)</f>
        <v>SEV-2x spodný vozík DTD 18mm, bez pozicionéru, bez pružiny</v>
      </c>
      <c r="D29" s="17">
        <f>+D4</f>
        <v>3</v>
      </c>
      <c r="E29" s="219">
        <f>+VLOOKUP(B29,cennik!$A:$G,3,FALSE)</f>
        <v>4.5556599999999996</v>
      </c>
      <c r="F29" s="92">
        <f>+E29*D29</f>
        <v>13.666979999999999</v>
      </c>
      <c r="G29" s="93">
        <f t="shared" si="0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 t="str">
        <f>texty!A89</f>
        <v>dorazový kartáč</v>
      </c>
      <c r="B30" s="16">
        <v>229433</v>
      </c>
      <c r="C30" s="38" t="str">
        <f>+VLOOKUP(B30,cennik!$A:$G,2,FALSE)</f>
        <v>SEVROLL dorazový kartáč zásuvný 4,8x4mm</v>
      </c>
      <c r="D30" s="17">
        <f>CEILING((B4*D4*2/1000),1)</f>
        <v>0</v>
      </c>
      <c r="E30" s="219">
        <f>+VLOOKUP(B30,cennik!$A:$G,3,FALSE)</f>
        <v>6.4699999999999994E-2</v>
      </c>
      <c r="F30" s="92">
        <f>+E30*D30</f>
        <v>0</v>
      </c>
      <c r="G30" s="93">
        <f t="shared" si="0"/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7" t="str">
        <f>+Faworyt!A32</f>
        <v>úchytková lišta</v>
      </c>
      <c r="B31" s="16">
        <f>+VLOOKUP(P7,data!$C$603:$D$604,2,0)</f>
        <v>90106</v>
      </c>
      <c r="C31" s="38" t="str">
        <f>+VLOOKUP(B31,cennik!$A:$G,2,FALSE)</f>
        <v>SEVROLL Universal 18 úch.lišta 2,7m striebor</v>
      </c>
      <c r="D31" s="17">
        <f>IF(B11&lt;=1347,D4*2/2,D4*2)</f>
        <v>3</v>
      </c>
      <c r="E31" s="219">
        <f>+VLOOKUP(B31,cennik!$A:$G,3,FALSE)</f>
        <v>17.62002</v>
      </c>
      <c r="F31" s="92">
        <f>+E31*D31</f>
        <v>52.860060000000004</v>
      </c>
      <c r="G31" s="93">
        <f t="shared" si="0"/>
        <v>52.860060000000004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ht="12.75" customHeight="1">
      <c r="A32" s="7"/>
      <c r="B32" s="16"/>
      <c r="C32" s="25"/>
      <c r="D32" s="17"/>
      <c r="E32" s="92"/>
      <c r="F32" s="92"/>
      <c r="G32" s="93"/>
      <c r="H32" s="6"/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L32" s="6"/>
    </row>
    <row r="33" spans="1:12" s="129" customFormat="1" ht="12.75" customHeight="1">
      <c r="A33" s="14" t="str">
        <f>texty!$A$66</f>
        <v>Voliteľné príslušenstvo:</v>
      </c>
      <c r="B33" s="124"/>
      <c r="C33" s="125"/>
      <c r="D33" s="491" t="str">
        <f>Faworyt!$D$34</f>
        <v>zadajte počet:</v>
      </c>
      <c r="E33" s="133"/>
      <c r="F33" s="133"/>
      <c r="G33" s="134"/>
      <c r="H33" s="128"/>
      <c r="I33" s="483" t="str">
        <f>IFERROR(IF((VLOOKUP(B33,cennik!A:L,12,0))="O",texty!$A$250,""),"")</f>
        <v/>
      </c>
      <c r="J33" s="196"/>
      <c r="L33" s="128"/>
    </row>
    <row r="34" spans="1:12" ht="12.75" customHeight="1">
      <c r="A34" s="73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 t="shared" ref="G34:G57" si="2">+F34*(100-$G$23)/100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6"/>
    </row>
    <row r="35" spans="1:12" ht="12.75" customHeight="1">
      <c r="A35" s="73" t="str">
        <f>texty!$A$111</f>
        <v xml:space="preserve">pozicionér </v>
      </c>
      <c r="B35" s="16">
        <f>IF(F4="Gemini",387424,89063)</f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3">+E35*D35</f>
        <v>0</v>
      </c>
      <c r="G35" s="105">
        <f t="shared" si="2"/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</row>
    <row r="36" spans="1:12" ht="12.75" customHeight="1">
      <c r="A36" s="73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</row>
    <row r="37" spans="1:12" ht="12.75" customHeight="1">
      <c r="A37" s="73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</row>
    <row r="38" spans="1:12" ht="12.75" customHeight="1">
      <c r="A38" s="73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</row>
    <row r="39" spans="1:12" ht="12.75" customHeight="1">
      <c r="A39" s="73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</row>
    <row r="40" spans="1:12" ht="12.75" customHeight="1">
      <c r="A40" s="73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2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6"/>
    </row>
    <row r="41" spans="1:12" ht="12.75" customHeight="1">
      <c r="A41" s="73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>+F41*(100-$G$23)/100</f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6"/>
    </row>
    <row r="42" spans="1:12" ht="12.75" customHeight="1">
      <c r="A42" s="73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3"/>
    </row>
    <row r="43" spans="1:12" ht="12.75" customHeight="1">
      <c r="A43" s="73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3"/>
        <v>0</v>
      </c>
      <c r="G43" s="105">
        <f t="shared" si="2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3"/>
    </row>
    <row r="44" spans="1:12" ht="12.75" customHeight="1">
      <c r="A44" s="73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3"/>
        <v>0</v>
      </c>
      <c r="G44" s="105">
        <f t="shared" si="2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3"/>
    </row>
    <row r="45" spans="1:12" ht="12.75" customHeight="1">
      <c r="A45" s="73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3"/>
        <v>0</v>
      </c>
      <c r="G45" s="105">
        <f t="shared" si="2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3"/>
    </row>
    <row r="46" spans="1:12" ht="12.75" customHeight="1">
      <c r="A46" s="73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3"/>
        <v>0</v>
      </c>
      <c r="G46" s="105">
        <f t="shared" si="2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3"/>
    </row>
    <row r="47" spans="1:12" ht="12.75" customHeight="1">
      <c r="A47" s="73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3"/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3"/>
    </row>
    <row r="48" spans="1:12" ht="12.75" customHeight="1">
      <c r="A48" s="73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3"/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3"/>
    </row>
    <row r="49" spans="1:14" ht="12.75" customHeight="1">
      <c r="A49" s="73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6"/>
    </row>
    <row r="50" spans="1:14" ht="12.75" customHeight="1">
      <c r="A50" s="73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2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L50" s="6"/>
    </row>
    <row r="51" spans="1:14" ht="12.75" customHeight="1">
      <c r="A51" s="73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L51" s="6"/>
    </row>
    <row r="52" spans="1:14" ht="12.75" customHeight="1">
      <c r="A52" s="73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</row>
    <row r="53" spans="1:14" ht="12.75" customHeight="1">
      <c r="A53" s="73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3"/>
        <v>0</v>
      </c>
      <c r="G53" s="105">
        <f t="shared" si="2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L53" s="6"/>
    </row>
    <row r="54" spans="1:14" ht="12.75" customHeight="1">
      <c r="A54" s="73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3"/>
        <v>0</v>
      </c>
      <c r="G54" s="105">
        <f t="shared" si="2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L54" s="6"/>
    </row>
    <row r="55" spans="1:14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3"/>
        <v>0</v>
      </c>
      <c r="G55" s="105">
        <f t="shared" si="2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5"/>
      <c r="L55" s="6"/>
    </row>
    <row r="56" spans="1:14" ht="12.75" customHeight="1">
      <c r="A56" s="73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3"/>
        <v>0</v>
      </c>
      <c r="G56" s="105">
        <f t="shared" si="2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L56" s="6"/>
    </row>
    <row r="57" spans="1:14" ht="12.75" customHeight="1">
      <c r="A57" s="73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3"/>
        <v>0</v>
      </c>
      <c r="G57" s="105">
        <f t="shared" si="2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L57" s="6"/>
    </row>
    <row r="58" spans="1:14" ht="12.75" customHeight="1">
      <c r="A58" s="7"/>
      <c r="B58" s="24"/>
      <c r="C58" s="25"/>
      <c r="D58" s="219"/>
      <c r="E58" s="219"/>
      <c r="F58" s="106"/>
      <c r="G58" s="105"/>
      <c r="H58" s="6"/>
      <c r="I58" s="186"/>
      <c r="J58" s="196"/>
      <c r="L58" s="6"/>
    </row>
    <row r="59" spans="1:14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J59" s="286"/>
      <c r="K59" s="135"/>
      <c r="L59" s="6"/>
    </row>
    <row r="60" spans="1:14" ht="12.75" customHeight="1">
      <c r="A60" s="285" t="str">
        <f>texty!$A$244</f>
        <v>Technický nákres tohoto systému</v>
      </c>
      <c r="B60" s="17"/>
      <c r="C60" s="25"/>
      <c r="D60" s="77" t="str">
        <f>Faworyt!D61</f>
        <v>CELKOM  (bez DPH)</v>
      </c>
      <c r="E60" s="115"/>
      <c r="F60" s="118">
        <f>SUM(F25:F57)</f>
        <v>106.6602</v>
      </c>
      <c r="G60" s="119">
        <f>SUM(G25:G57)</f>
        <v>106.6602</v>
      </c>
      <c r="H60" s="6" t="str">
        <f>cennik!$B$2</f>
        <v>EUR</v>
      </c>
      <c r="L60" s="6"/>
    </row>
    <row r="61" spans="1:14" ht="12.75" customHeight="1">
      <c r="A61" s="76" t="str">
        <f>System10!$A$67</f>
        <v>Vaša poznámka:</v>
      </c>
      <c r="B61" s="670"/>
      <c r="C61" s="671"/>
      <c r="D61" s="671"/>
      <c r="E61" s="671"/>
      <c r="F61" s="671"/>
      <c r="G61" s="672"/>
      <c r="H61" s="6"/>
      <c r="L61" s="6"/>
    </row>
    <row r="62" spans="1:14" ht="12.75" customHeight="1">
      <c r="A62" s="668">
        <f>profil!$U$15</f>
        <v>0</v>
      </c>
      <c r="B62" s="658"/>
      <c r="C62" s="658"/>
      <c r="D62" s="658"/>
      <c r="E62" s="658"/>
      <c r="F62" s="658"/>
      <c r="G62" s="658"/>
      <c r="H62" s="658"/>
      <c r="L62" s="6" t="str">
        <f>texty!A128</f>
        <v xml:space="preserve">strieborná </v>
      </c>
      <c r="M62" s="21" t="s">
        <v>2884</v>
      </c>
    </row>
    <row r="63" spans="1:14" ht="12.75" customHeight="1">
      <c r="A63" s="659" t="str">
        <f>IF(N63=1,texty!$A$215,IF(J63&gt;0,texty!$A$214,""))</f>
        <v/>
      </c>
      <c r="B63" s="659"/>
      <c r="C63" s="659"/>
      <c r="D63" s="659"/>
      <c r="E63" s="659"/>
      <c r="F63" s="659"/>
      <c r="G63" s="659"/>
      <c r="H63" s="659"/>
      <c r="J63" s="6">
        <f>SUM(J25:J57)</f>
        <v>0</v>
      </c>
      <c r="L63" s="6" t="str">
        <f>texty!A130</f>
        <v>oliva</v>
      </c>
      <c r="M63" s="21" t="s">
        <v>45</v>
      </c>
      <c r="N63" s="5">
        <f>IF(ISERROR(J63),1,0)</f>
        <v>0</v>
      </c>
    </row>
    <row r="64" spans="1:14" ht="12.75" customHeight="1">
      <c r="A64" s="64"/>
    </row>
    <row r="65" ht="12.75" customHeight="1"/>
  </sheetData>
  <sheetProtection algorithmName="SHA-512" hashValue="+112XRWJCF5QmsR58yIjoW5j9lbk+qUXy+bOdwvE0+wS6oszs+ZiBapWz+VOE9NL6iaDOuGhgB4pwmtUn68XXg==" saltValue="jp5yAfCeHxyZSir6uTDxE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D6">
    <cfRule type="expression" dxfId="65" priority="9">
      <formula>$D$4=4</formula>
    </cfRule>
    <cfRule type="expression" dxfId="64" priority="10">
      <formula>$D$4&lt;&gt;4</formula>
    </cfRule>
  </conditionalFormatting>
  <conditionalFormatting sqref="G4">
    <cfRule type="expression" dxfId="63" priority="8">
      <formula>$D$4=4</formula>
    </cfRule>
  </conditionalFormatting>
  <conditionalFormatting sqref="I16:I17">
    <cfRule type="expression" dxfId="62" priority="4">
      <formula>$F$4=$M$63</formula>
    </cfRule>
  </conditionalFormatting>
  <conditionalFormatting sqref="I18:I19">
    <cfRule type="expression" dxfId="61" priority="5">
      <formula>$F$4=$M$62</formula>
    </cfRule>
  </conditionalFormatting>
  <conditionalFormatting sqref="A13">
    <cfRule type="expression" dxfId="60" priority="3">
      <formula>SUM($D$39:$D$40)&gt;0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:F6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2194953-1038-4561-8BD6-53CD08F41258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6">
    <pageSetUpPr fitToPage="1"/>
  </sheetPr>
  <dimension ref="A1:Q61"/>
  <sheetViews>
    <sheetView showGridLines="0" zoomScale="85" zoomScaleNormal="85" workbookViewId="0">
      <selection activeCell="E4" sqref="E4"/>
    </sheetView>
  </sheetViews>
  <sheetFormatPr baseColWidth="10" defaultColWidth="0" defaultRowHeight="0" customHeight="1" zeroHeight="1"/>
  <cols>
    <col min="1" max="1" width="37" style="5" customWidth="1"/>
    <col min="2" max="2" width="15.83203125" style="5" customWidth="1"/>
    <col min="3" max="3" width="46.5" style="5" bestFit="1" customWidth="1"/>
    <col min="4" max="4" width="14.16406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-10</v>
      </c>
    </row>
    <row r="2" spans="1:16" ht="18.75" customHeight="1">
      <c r="A2" s="538" t="s">
        <v>729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",5,".",82)</f>
        <v>katalóg kovania 2018 str. 5.82</v>
      </c>
      <c r="B3" s="434" t="str">
        <f>CONCATENATE(texty!A34," / max.         2 742 mm /")</f>
        <v>výška / max.         2 742 mm /</v>
      </c>
      <c r="C3" s="435" t="str">
        <f>CONCATENATE(texty!A35," / max 3 600 mm /")</f>
        <v>šírka / max 3 600 mm /</v>
      </c>
      <c r="D3" s="9" t="str">
        <f>+System10!D3</f>
        <v>počet dverí:</v>
      </c>
      <c r="E3" s="9" t="str">
        <f>+System10!E3</f>
        <v>farba</v>
      </c>
      <c r="F3" s="9"/>
      <c r="G3" s="6"/>
      <c r="H3" s="6"/>
      <c r="L3" s="6"/>
    </row>
    <row r="4" spans="1:16" ht="18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9"/>
      <c r="G4" s="656"/>
      <c r="H4" s="656"/>
      <c r="I4" s="656"/>
      <c r="K4" s="195"/>
      <c r="L4" s="8"/>
    </row>
    <row r="5" spans="1:16" ht="18" customHeight="1">
      <c r="A5" s="10"/>
      <c r="B5" s="673" t="str">
        <f>texty!A46</f>
        <v>vypíšte tieto 4 políčka !!! Údaje v mm</v>
      </c>
      <c r="C5" s="673"/>
      <c r="D5" s="673"/>
      <c r="E5" s="673"/>
      <c r="F5" s="485"/>
      <c r="G5" s="656"/>
      <c r="H5" s="656"/>
      <c r="I5" s="656"/>
      <c r="K5" s="195"/>
      <c r="L5" s="3"/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</row>
    <row r="7" spans="1:16" ht="12.75" customHeight="1">
      <c r="A7" s="10" t="str">
        <f>texty!A47</f>
        <v>krídlo dverí:</v>
      </c>
      <c r="B7" s="57">
        <f>+B4-42</f>
        <v>-42</v>
      </c>
      <c r="C7" s="59">
        <f>+((C4+40*(D4-1))/D4)</f>
        <v>26.666666666666668</v>
      </c>
      <c r="D7" s="8"/>
      <c r="E7" s="8"/>
      <c r="F7" s="8"/>
      <c r="G7" s="656"/>
      <c r="H7" s="656"/>
      <c r="I7" s="656"/>
      <c r="L7" s="6"/>
      <c r="O7" s="17">
        <f>IF(C4&lt;1801,1800,IF(C4&lt;2701,2700,IF(C4&lt;3601,3600,texty!A178)))</f>
        <v>1800</v>
      </c>
      <c r="P7" s="21" t="str">
        <f>+E4</f>
        <v xml:space="preserve">strieborná </v>
      </c>
    </row>
    <row r="8" spans="1:16" ht="12.75" customHeight="1">
      <c r="A8" s="10" t="str">
        <f>texty!A48</f>
        <v>rozmer výplne 18mm:</v>
      </c>
      <c r="B8" s="57">
        <f>+B7-2</f>
        <v>-44</v>
      </c>
      <c r="C8" s="59">
        <f>+C7-3.5</f>
        <v>23.166666666666668</v>
      </c>
      <c r="D8" s="8"/>
      <c r="E8" s="8"/>
      <c r="F8" s="8"/>
      <c r="G8" s="51"/>
      <c r="H8" s="6"/>
      <c r="L8" s="6"/>
      <c r="O8" s="23" t="str">
        <f>CONCATENATE(O7,"-",E4)</f>
        <v xml:space="preserve">1800-strieborná </v>
      </c>
      <c r="P8" s="21"/>
    </row>
    <row r="9" spans="1:16" ht="12.75" customHeight="1">
      <c r="A9" s="10" t="str">
        <f>texty!A49</f>
        <v>rozmer výplne 12mm:</v>
      </c>
      <c r="B9" s="57">
        <f>+B8</f>
        <v>-44</v>
      </c>
      <c r="C9" s="59">
        <f>+C7-3.5</f>
        <v>23.166666666666668</v>
      </c>
      <c r="D9" s="8"/>
      <c r="E9" s="8"/>
      <c r="F9" s="8"/>
      <c r="G9" s="3" t="str">
        <f>Faworyt!G8</f>
        <v>Maximálna hmotnosť krídla je 50 kg</v>
      </c>
      <c r="H9" s="6"/>
      <c r="L9" s="37"/>
      <c r="M9" s="36"/>
    </row>
    <row r="10" spans="1:16" ht="12.75" customHeight="1">
      <c r="A10" s="10" t="str">
        <f>texty!A50</f>
        <v>rozmer zrkadla /na DTD 12mm/</v>
      </c>
      <c r="B10" s="61">
        <f>+B8-4</f>
        <v>-48</v>
      </c>
      <c r="C10" s="66">
        <f>+C9-6</f>
        <v>17.166666666666668</v>
      </c>
      <c r="D10" s="8"/>
      <c r="E10" s="8"/>
      <c r="F10" s="8"/>
      <c r="G10" s="49"/>
      <c r="H10" s="6"/>
      <c r="O10" s="17"/>
      <c r="P10" s="21"/>
    </row>
    <row r="11" spans="1:16" ht="12.75" customHeight="1">
      <c r="A11" s="10" t="str">
        <f>texty!$A$51</f>
        <v>Dĺžka úchytkového profilu (+2 mm)</v>
      </c>
      <c r="B11" s="68">
        <f>B8+2</f>
        <v>-42</v>
      </c>
      <c r="C11" s="138"/>
      <c r="D11" s="8"/>
      <c r="E11" s="8"/>
      <c r="F11" s="8"/>
      <c r="G11" s="3"/>
      <c r="H11" s="6"/>
      <c r="L11" s="36"/>
      <c r="O11" s="23"/>
      <c r="P11" s="21"/>
    </row>
    <row r="12" spans="1:16" ht="12.75" customHeight="1">
      <c r="A12" s="10"/>
      <c r="B12" s="175" t="str">
        <f>IF(B7&gt;2400,texty!A194,IF(C7&gt;700,texty!$A$194,""))</f>
        <v/>
      </c>
      <c r="C12" s="86"/>
      <c r="D12" s="8"/>
      <c r="H12" s="6"/>
      <c r="L12" s="6"/>
    </row>
    <row r="13" spans="1:16" ht="28">
      <c r="A13" s="644" t="str">
        <f>IF(SUM(D38:D39)&gt;0,texty!A246,"")</f>
        <v/>
      </c>
      <c r="B13" s="644"/>
      <c r="C13" s="515" t="str">
        <f>texty!A78</f>
        <v>dodatočné odpočty výšky vypočítaných výplní pri použití deliacich profilov výplne:</v>
      </c>
      <c r="D13" s="8"/>
      <c r="G13" s="6"/>
      <c r="L13" s="35"/>
    </row>
    <row r="14" spans="1:16" ht="13">
      <c r="A14" s="644"/>
      <c r="B14" s="644"/>
      <c r="C14" s="515"/>
      <c r="D14" s="8"/>
      <c r="G14" s="6"/>
      <c r="L14" s="35"/>
    </row>
    <row r="15" spans="1:16" ht="13">
      <c r="A15" s="7"/>
      <c r="B15" s="58"/>
      <c r="C15" s="515"/>
      <c r="D15" s="8"/>
      <c r="G15" s="6"/>
      <c r="L15" s="35"/>
    </row>
    <row r="16" spans="1:16" ht="12.75" customHeight="1">
      <c r="A16" s="193"/>
      <c r="B16" s="65"/>
      <c r="C16" s="169"/>
      <c r="D16" s="8"/>
      <c r="E16" s="8"/>
      <c r="F16" s="8"/>
      <c r="G16" s="6"/>
      <c r="H16" s="6"/>
      <c r="L16" s="6"/>
    </row>
    <row r="17" spans="1:12" ht="12.75" customHeight="1">
      <c r="A17" s="10"/>
      <c r="B17" s="8"/>
      <c r="C17" s="12"/>
      <c r="D17" s="8"/>
      <c r="E17" s="8"/>
      <c r="F17" s="8"/>
      <c r="G17" s="6"/>
      <c r="H17" s="6"/>
      <c r="L17" s="6"/>
    </row>
    <row r="18" spans="1:12" ht="12.75" customHeight="1">
      <c r="A18" s="10"/>
      <c r="B18" s="8"/>
      <c r="C18" s="12"/>
      <c r="D18" s="8"/>
      <c r="E18" s="8"/>
      <c r="F18" s="8"/>
      <c r="G18" s="6"/>
      <c r="H18" s="6"/>
      <c r="L18" s="6"/>
    </row>
    <row r="19" spans="1:12" ht="14.25" customHeight="1">
      <c r="A19" s="10"/>
      <c r="B19" s="8"/>
      <c r="C19" s="27"/>
      <c r="D19" s="8"/>
      <c r="E19" s="8"/>
      <c r="F19" s="8"/>
      <c r="G19" s="6"/>
      <c r="H19" s="6"/>
      <c r="L19" s="6"/>
    </row>
    <row r="20" spans="1:12" ht="16.5" customHeight="1">
      <c r="A20" s="10"/>
      <c r="B20" s="8"/>
      <c r="C20" s="8"/>
      <c r="E20" s="8"/>
      <c r="F20" s="8"/>
      <c r="G20" s="6"/>
      <c r="H20" s="6"/>
      <c r="L20" s="6"/>
    </row>
    <row r="21" spans="1:12" ht="16.5" customHeight="1">
      <c r="A21" s="499" t="s">
        <v>2954</v>
      </c>
      <c r="B21" s="520" t="s">
        <v>2961</v>
      </c>
      <c r="C21" s="8"/>
      <c r="D21" s="13"/>
      <c r="E21" s="8"/>
      <c r="F21" s="8"/>
      <c r="G21" s="6"/>
      <c r="H21" s="6"/>
      <c r="L21" s="6"/>
    </row>
    <row r="22" spans="1:12" ht="12.75" customHeight="1">
      <c r="A22" s="7"/>
      <c r="B22" s="8"/>
      <c r="C22" s="8"/>
      <c r="D22" s="8"/>
      <c r="E22" s="8"/>
      <c r="F22" s="6"/>
      <c r="G22" s="135" t="str">
        <f>+System10!G25</f>
        <v>partnerská zľava:</v>
      </c>
      <c r="H22" s="6"/>
      <c r="L22" s="6"/>
    </row>
    <row r="23" spans="1:12" ht="12.75" customHeight="1">
      <c r="A23" s="14" t="str">
        <f>+System10!$A$26</f>
        <v>Objednávacie kódy, ceny:</v>
      </c>
      <c r="B23" s="8"/>
      <c r="C23" s="8"/>
      <c r="D23" s="8"/>
      <c r="E23" s="8"/>
      <c r="F23" s="6"/>
      <c r="G23" s="121">
        <f>profil!C15</f>
        <v>0</v>
      </c>
      <c r="H23" s="6" t="s">
        <v>70</v>
      </c>
      <c r="L23" s="6"/>
    </row>
    <row r="24" spans="1:12" s="83" customFormat="1" ht="12.75" customHeight="1">
      <c r="B24" s="82" t="str">
        <f>+System10!B27</f>
        <v>kód</v>
      </c>
      <c r="C24" s="82" t="str">
        <f>+System10!C27</f>
        <v>názov</v>
      </c>
      <c r="D24" s="82" t="str">
        <f>+System10!D27</f>
        <v>ks</v>
      </c>
      <c r="E24" s="82" t="str">
        <f>+System10!E27</f>
        <v>cena/ks</v>
      </c>
      <c r="F24" s="18" t="str">
        <f>+System10!F27</f>
        <v>cena celkom</v>
      </c>
      <c r="G24" s="18" t="str">
        <f>+System10!G27</f>
        <v>celkom netto:</v>
      </c>
      <c r="H24" s="18"/>
      <c r="I24" s="18" t="str">
        <f>texty!A29</f>
        <v>Poznámka:</v>
      </c>
      <c r="J24" s="18"/>
      <c r="L24" s="18"/>
    </row>
    <row r="25" spans="1:12" ht="12.75" customHeight="1">
      <c r="A25" s="7" t="str">
        <f>+Faworyt!A26</f>
        <v>Horný profil:</v>
      </c>
      <c r="B25" s="8">
        <f>+VLOOKUP(O8,data!$C$678:$D$680,2,0)</f>
        <v>98003</v>
      </c>
      <c r="C25" s="38" t="str">
        <f>+VLOOKUP(B25,cennik!$A:$G,2,FALSE)</f>
        <v>JOKER-HORNÝ PROFIL 1,8M HLINÍK (32/1)</v>
      </c>
      <c r="D25" s="8">
        <v>1</v>
      </c>
      <c r="E25" s="219">
        <f>+VLOOKUP(B25,cennik!$A:$G,3,FALSE)</f>
        <v>20.72944</v>
      </c>
      <c r="F25" s="92">
        <f t="shared" ref="F25:F30" si="0">+E25*D25</f>
        <v>20.72944</v>
      </c>
      <c r="G25" s="93">
        <f t="shared" ref="G25:G30" si="1">+F25*(100-$G$23)/100</f>
        <v>20.72944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" t="str">
        <f>+Faworyt!A27</f>
        <v>spodný profil:</v>
      </c>
      <c r="B26" s="8">
        <f>+VLOOKUP(O8,data!$C$681:$D$683,2,0)</f>
        <v>98007</v>
      </c>
      <c r="C26" s="38" t="str">
        <f>+VLOOKUP(B26,cennik!$A:$G,2,FALSE)</f>
        <v>JOKER-SPODNÝ PROFIL 1,8M HLINÍK (22/1)</v>
      </c>
      <c r="D26" s="8">
        <v>1</v>
      </c>
      <c r="E26" s="219">
        <f>+VLOOKUP(B26,cennik!$A:$G,3,FALSE)</f>
        <v>10.653969999999999</v>
      </c>
      <c r="F26" s="92">
        <f t="shared" si="0"/>
        <v>10.653969999999999</v>
      </c>
      <c r="G26" s="93">
        <f t="shared" si="1"/>
        <v>10.653969999999999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" t="str">
        <f>+Faworyt!A29</f>
        <v>horný vozík</v>
      </c>
      <c r="B27" s="16">
        <v>228023</v>
      </c>
      <c r="C27" s="38" t="str">
        <f>+VLOOKUP(B27,cennik!$A:$G,2,FALSE)</f>
        <v>SEVROLL Focus horný vozík 18mm - 2ks</v>
      </c>
      <c r="D27" s="17">
        <f>IF((D41+D40)&gt;D4,0,D4-(D40+D41))</f>
        <v>3</v>
      </c>
      <c r="E27" s="219">
        <f>+VLOOKUP(B27,cennik!$A:$G,3,FALSE)</f>
        <v>4.0494700000000003</v>
      </c>
      <c r="F27" s="92">
        <f t="shared" si="0"/>
        <v>12.148410000000002</v>
      </c>
      <c r="G27" s="93">
        <f t="shared" si="1"/>
        <v>12.148410000000002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+Faworyt!A30</f>
        <v>spodný vozík</v>
      </c>
      <c r="B28" s="16">
        <v>362316</v>
      </c>
      <c r="C28" s="38" t="str">
        <f>+VLOOKUP(B28,cennik!$A:$G,2,FALSE)</f>
        <v>SEV-2x spodný vozík DTD 18mm, bez pozicionéru, bez pružiny</v>
      </c>
      <c r="D28" s="17">
        <f>+D4</f>
        <v>3</v>
      </c>
      <c r="E28" s="219">
        <f>+VLOOKUP(B28,cennik!$A:$G,3,FALSE)</f>
        <v>4.5556599999999996</v>
      </c>
      <c r="F28" s="92">
        <f t="shared" si="0"/>
        <v>13.666979999999999</v>
      </c>
      <c r="G28" s="93">
        <f t="shared" si="1"/>
        <v>13.666979999999999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 t="str">
        <f>+Faworyt!A31</f>
        <v>dorazový kartáč</v>
      </c>
      <c r="B29" s="16">
        <v>89131</v>
      </c>
      <c r="C29" s="38" t="str">
        <f>+VLOOKUP(B29,cennik!$A:$G,2,FALSE)</f>
        <v>SEVROLL dorazový kartáč samolepiaci 6,7x4mm</v>
      </c>
      <c r="D29" s="17">
        <f>CEILING((B4*D4*2/1000),1)</f>
        <v>0</v>
      </c>
      <c r="E29" s="219">
        <f>+VLOOKUP(B29,cennik!$A:$G,3,FALSE)</f>
        <v>0.16275999999999999</v>
      </c>
      <c r="F29" s="92">
        <f t="shared" si="0"/>
        <v>0</v>
      </c>
      <c r="G29" s="93">
        <f t="shared" si="1"/>
        <v>0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ht="12.75" customHeight="1">
      <c r="A30" s="7" t="str">
        <f>+Faworyt!A32</f>
        <v>úchytková lišta</v>
      </c>
      <c r="B30" s="16">
        <f>+VLOOKUP(P7,data!$C$676:$D$676,2,0)</f>
        <v>98002</v>
      </c>
      <c r="C30" s="38" t="str">
        <f>+VLOOKUP(B30,cennik!$A:$G,2,FALSE)</f>
        <v>ASTIN Orient úch.lišta 2,7m str. (32/1)</v>
      </c>
      <c r="D30" s="17">
        <f>IF(B11&lt;=1347,D4*2/2,D4*2)</f>
        <v>3</v>
      </c>
      <c r="E30" s="219">
        <f>+VLOOKUP(B30,cennik!$A:$G,3,FALSE)</f>
        <v>20.199149999999999</v>
      </c>
      <c r="F30" s="92">
        <f t="shared" si="0"/>
        <v>60.597449999999995</v>
      </c>
      <c r="G30" s="93">
        <f t="shared" si="1"/>
        <v>60.597450000000002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12" ht="12.75" customHeight="1">
      <c r="A31" s="7"/>
      <c r="B31" s="16"/>
      <c r="C31" s="25"/>
      <c r="D31" s="17"/>
      <c r="E31" s="92"/>
      <c r="F31" s="92"/>
      <c r="G31" s="93"/>
      <c r="H31" s="6"/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s="129" customFormat="1" ht="12.75" customHeight="1">
      <c r="A32" s="14" t="str">
        <f>texty!$A$66</f>
        <v>Voliteľné príslušenstvo:</v>
      </c>
      <c r="B32" s="124"/>
      <c r="C32" s="125"/>
      <c r="D32" s="491" t="str">
        <f>Faworyt!$D$34</f>
        <v>zadajte počet:</v>
      </c>
      <c r="E32" s="133"/>
      <c r="F32" s="133"/>
      <c r="G32" s="134"/>
      <c r="H32" s="128"/>
      <c r="I32" s="483" t="str">
        <f>IFERROR(IF((VLOOKUP(B32,cennik!A:L,12,0))="O",texty!$A$250,""),"")</f>
        <v/>
      </c>
      <c r="J32" s="196"/>
      <c r="L32" s="128"/>
    </row>
    <row r="33" spans="1:13" ht="12.75" customHeight="1">
      <c r="A33" s="73" t="str">
        <f>texty!$A$88</f>
        <v>pozicionér do horného vedenia</v>
      </c>
      <c r="B33" s="192">
        <v>298035</v>
      </c>
      <c r="C33" s="38" t="str">
        <f>+VLOOKUP(B33,cennik!$A:$G,2,FALSE)</f>
        <v>SEVROLL Fix pozicionér pre horný vozík tran.</v>
      </c>
      <c r="D33" s="29"/>
      <c r="E33" s="219">
        <f>+VLOOKUP(B33,cennik!$A:$G,3,FALSE)</f>
        <v>1.0605800000000001</v>
      </c>
      <c r="F33" s="106">
        <f>+E33*D33</f>
        <v>0</v>
      </c>
      <c r="G33" s="105">
        <f>+F33*(100-$H$21)/100</f>
        <v>0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L33" s="6"/>
      <c r="M33" s="6"/>
    </row>
    <row r="34" spans="1:13" ht="12.75" customHeight="1">
      <c r="A34" s="73" t="str">
        <f>texty!$A$111</f>
        <v xml:space="preserve">pozicionér </v>
      </c>
      <c r="B34" s="16">
        <v>89063</v>
      </c>
      <c r="C34" s="38" t="str">
        <f>+VLOOKUP(B34,cennik!$A:$G,2,FALSE)</f>
        <v>SEV - pozicionér HI-TEC</v>
      </c>
      <c r="D34" s="29"/>
      <c r="E34" s="219">
        <f>+VLOOKUP(B34,cennik!$A:$G,3,FALSE)</f>
        <v>0.31335000000000002</v>
      </c>
      <c r="F34" s="106">
        <f>+E34*D34</f>
        <v>0</v>
      </c>
      <c r="G34" s="105">
        <f t="shared" ref="G34:G52" si="2">+F34*(100-$H$21)/100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6"/>
      <c r="M34" s="6"/>
    </row>
    <row r="35" spans="1:13" ht="12.75" customHeight="1">
      <c r="A35" s="73" t="str">
        <f>texty!$A$228</f>
        <v> Tlmič dorazu MINI do 25 kg (pár)</v>
      </c>
      <c r="B35" s="16">
        <v>318662</v>
      </c>
      <c r="C35" s="25" t="str">
        <f>+VLOOKUP(B35,cennik!$A:$G,2,FALSE)</f>
        <v>SEVROLL tlmič dorazu Mini SV25 - 2ks</v>
      </c>
      <c r="D35" s="387"/>
      <c r="E35" s="92">
        <f>+VLOOKUP(B35,cennik!$A:$G,3,FALSE)</f>
        <v>22.368510000000001</v>
      </c>
      <c r="F35" s="97">
        <f>+CEILING(D35,1)*E35</f>
        <v>0</v>
      </c>
      <c r="G35" s="105">
        <f t="shared" si="2"/>
        <v>0</v>
      </c>
      <c r="H35" s="24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  <c r="M35" s="6"/>
    </row>
    <row r="36" spans="1:13" ht="12.75" customHeight="1">
      <c r="A36" s="73" t="str">
        <f>texty!$A$229</f>
        <v> Tlmič dorazu MINI do 40 kg (pár)</v>
      </c>
      <c r="B36" s="24">
        <v>283956</v>
      </c>
      <c r="C36" s="25" t="str">
        <f>+VLOOKUP(B36,cennik!$A:$G,2,FALSE)</f>
        <v>SEVROLL tlmič dorazu Mini SV40 - 2ks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  <c r="M36" s="6"/>
    </row>
    <row r="37" spans="1:13" ht="12.75" customHeight="1">
      <c r="A37" s="73" t="str">
        <f>texty!$A$230</f>
        <v> Tlmič dorazu MINI do 60 kg (pár)</v>
      </c>
      <c r="B37" s="24">
        <v>351743</v>
      </c>
      <c r="C37" s="25" t="str">
        <f>+VLOOKUP(B37,cennik!$A:$G,2,FALSE)</f>
        <v/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  <c r="M37" s="6"/>
    </row>
    <row r="38" spans="1:13" ht="12.75" customHeight="1">
      <c r="A38" s="73" t="str">
        <f>texty!$A$231</f>
        <v> Tlmič pre stredné krídlo do 25 kg</v>
      </c>
      <c r="B38" s="24">
        <v>318663</v>
      </c>
      <c r="C38" s="25" t="str">
        <f>+VLOOKUP(B38,cennik!$A:$G,2,FALSE)</f>
        <v>SEVROLL tlmič Central 10/18mm obojst. 25 kg</v>
      </c>
      <c r="D38" s="387"/>
      <c r="E38" s="92">
        <f>+VLOOKUP(B38,cennik!$A:$G,3,FALSE)</f>
        <v>47.918750000000003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  <c r="M38" s="6"/>
    </row>
    <row r="39" spans="1:13" ht="12.75" customHeight="1">
      <c r="A39" s="73" t="str">
        <f>texty!$A$232</f>
        <v> Tlmič pre stredné krídlo do 40 kg</v>
      </c>
      <c r="B39" s="24">
        <v>283955</v>
      </c>
      <c r="C39" s="25" t="str">
        <f>+VLOOKUP(B39,cennik!$A:$G,2,FALSE)</f>
        <v>SEVROLL tlmič Central 10/18mm obojst.25-40kg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  <c r="M39" s="6"/>
    </row>
    <row r="40" spans="1:13" ht="12.75" customHeight="1">
      <c r="A40" s="73" t="str">
        <f>texty!$A$97</f>
        <v>tlmič dorazu (pár) 25 kg</v>
      </c>
      <c r="B40" s="24">
        <v>227185</v>
      </c>
      <c r="C40" s="38" t="str">
        <f>+VLOOKUP(B40,cennik!$A:$G,2,FALSE)</f>
        <v>K-SEVROLL tlmič dorazu 10/18mm 14-25kg(L+P)</v>
      </c>
      <c r="D40" s="29"/>
      <c r="E40" s="219">
        <f>+VLOOKUP(B40,cennik!$A:$G,3,FALSE)</f>
        <v>0</v>
      </c>
      <c r="F40" s="106">
        <f t="shared" ref="F40:F49" si="3">+E40*D40</f>
        <v>0</v>
      </c>
      <c r="G40" s="105">
        <f t="shared" si="2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6"/>
      <c r="M40" s="6"/>
    </row>
    <row r="41" spans="1:13" ht="12.75" customHeight="1">
      <c r="A41" s="73" t="str">
        <f>texty!$A$98</f>
        <v>tlmič dorazu (pár) 50 kg</v>
      </c>
      <c r="B41" s="24">
        <v>227187</v>
      </c>
      <c r="C41" s="38" t="str">
        <f>+VLOOKUP(B41,cennik!$A:$G,2,FALSE)</f>
        <v>K-SEVROLL tlmič dorazu 10/18mm 25-50kg(L+P)</v>
      </c>
      <c r="D41" s="29"/>
      <c r="E41" s="219">
        <f>+VLOOKUP(B41,cennik!$A:$G,3,FALSE)</f>
        <v>0</v>
      </c>
      <c r="F41" s="106">
        <f t="shared" si="3"/>
        <v>0</v>
      </c>
      <c r="G41" s="105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6"/>
      <c r="M41" s="3"/>
    </row>
    <row r="42" spans="1:13" ht="12.75" customHeight="1">
      <c r="A42" s="73" t="str">
        <f>texty!$A$196</f>
        <v>Spona dorazovej kefky</v>
      </c>
      <c r="B42" s="16">
        <v>223569</v>
      </c>
      <c r="C42" s="38" t="str">
        <f>+VLOOKUP(B42,cennik!$A:$G,2,FALSE)</f>
        <v>SEVROLL spona dorazového kartáča</v>
      </c>
      <c r="D42" s="29"/>
      <c r="E42" s="219">
        <f>+VLOOKUP(B42,cennik!$A:$G,3,FALSE)</f>
        <v>7.399E-2</v>
      </c>
      <c r="F42" s="106">
        <f t="shared" si="3"/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6"/>
      <c r="M42" s="3"/>
    </row>
    <row r="43" spans="1:13" ht="12.75" customHeight="1">
      <c r="A43" s="73" t="str">
        <f>texty!$A$114</f>
        <v>spojovací profil H18-3metre</v>
      </c>
      <c r="B43" s="16">
        <v>98015</v>
      </c>
      <c r="C43" s="38" t="str">
        <f>+VLOOKUP(B43,cennik!$A:$G,2,FALSE)</f>
        <v>ASTIN spojovací H08 profil 3m strieborná</v>
      </c>
      <c r="D43" s="29"/>
      <c r="E43" s="219">
        <f>+VLOOKUP(B43,cennik!$A:$G,3,FALSE)</f>
        <v>10.17736</v>
      </c>
      <c r="F43" s="92">
        <f t="shared" si="3"/>
        <v>0</v>
      </c>
      <c r="G43" s="93">
        <f>+F43*(100-$G$23)/100</f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6"/>
      <c r="M43" s="3"/>
    </row>
    <row r="44" spans="1:13" ht="12.75" customHeight="1">
      <c r="A44" s="73" t="str">
        <f>texty!$A$119</f>
        <v>uholník mini 11x17mm - 1,7m</v>
      </c>
      <c r="B44" s="15">
        <v>98011</v>
      </c>
      <c r="C44" s="38" t="str">
        <f>IF(B44=data!$D$54,texty!$A$239,+VLOOKUP(B44,cennik!$A$3:$G$979,2,FALSE))</f>
        <v>JOKER-UHOLNÍK 1,8M HLINÍK (22/1)</v>
      </c>
      <c r="D44" s="29"/>
      <c r="E44" s="92">
        <f>IF(B44=data!$D$63,0,+VLOOKUP(B44,cennik!$A$3:$G$979,3,FALSE))</f>
        <v>5.4474999999999998</v>
      </c>
      <c r="F44" s="92">
        <f t="shared" si="3"/>
        <v>0</v>
      </c>
      <c r="G44" s="105">
        <f t="shared" si="2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6"/>
      <c r="M44" s="6"/>
    </row>
    <row r="45" spans="1:13" ht="12.75" customHeight="1">
      <c r="A45" s="73" t="str">
        <f>texty!$A$120</f>
        <v>uholník mini 11x17mm - 2,35m</v>
      </c>
      <c r="B45" s="15">
        <v>98012</v>
      </c>
      <c r="C45" s="38" t="str">
        <f>IF(B45=data!$D$54,texty!$A$239,+VLOOKUP(B45,cennik!$A$3:$G$979,2,FALSE))</f>
        <v>ASTIN UHOLNÍK 2,7M str. (22/1)</v>
      </c>
      <c r="D45" s="29"/>
      <c r="E45" s="92">
        <f>IF(B45=data!$D$63,0,+VLOOKUP(B45,cennik!$A$3:$G$979,3,FALSE))</f>
        <v>8.5328199999999992</v>
      </c>
      <c r="F45" s="92">
        <f t="shared" si="3"/>
        <v>0</v>
      </c>
      <c r="G45" s="105">
        <f t="shared" si="2"/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6"/>
      <c r="M45" s="6"/>
    </row>
    <row r="46" spans="1:13" ht="12.75" customHeight="1">
      <c r="A46" s="73" t="str">
        <f>texty!$A$121</f>
        <v>uholník mini 11x17mm - 3m</v>
      </c>
      <c r="B46" s="15">
        <v>98013</v>
      </c>
      <c r="C46" s="38" t="str">
        <f>IF(B46=data!$D$54,texty!$A$239,+VLOOKUP(B46,cennik!$A$3:$G$979,2,FALSE))</f>
        <v>JOKER-UHOLNÍK 3,6M HLINÍK (22/1)</v>
      </c>
      <c r="D46" s="29"/>
      <c r="E46" s="92">
        <f>IF(B46=data!$D$63,0,+VLOOKUP(B46,cennik!$A$3:$G$979,3,FALSE))</f>
        <v>11.23246</v>
      </c>
      <c r="F46" s="92">
        <f t="shared" si="3"/>
        <v>0</v>
      </c>
      <c r="G46" s="105">
        <f t="shared" si="2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6"/>
      <c r="M46" s="6"/>
    </row>
    <row r="47" spans="1:13" ht="12.75" customHeight="1">
      <c r="A47" s="73" t="str">
        <f>texty!$A$122</f>
        <v>uholník K2 19x18mm - 1,7m</v>
      </c>
      <c r="B47" s="6">
        <f>+VLOOKUP($P$7,data!$C$513:$D$522,2,0)</f>
        <v>89134</v>
      </c>
      <c r="C47" s="38" t="str">
        <f>IF(B47=data!$D$54,texty!$A$239,+VLOOKUP(B47,cennik!$A$3:$G$907,2,FALSE))</f>
        <v>SEVROLL-182 UHOLNÍK 17*11 STRIEBOR. 1,7M</v>
      </c>
      <c r="D47" s="29"/>
      <c r="E47" s="92">
        <f>IF(B47=data!$D$63,0,+VLOOKUP(B47,cennik!$A$3:$G$907,3,FALSE))</f>
        <v>2.5309200000000001</v>
      </c>
      <c r="F47" s="92">
        <f t="shared" si="3"/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  <c r="M47" s="6"/>
    </row>
    <row r="48" spans="1:13" ht="12.75" customHeight="1">
      <c r="A48" s="73" t="str">
        <f>texty!$A$123</f>
        <v>uholník K2 19x18mm - 2,35m</v>
      </c>
      <c r="B48" s="6">
        <f>+VLOOKUP($P$7,data!$C$523:$D$532,2,0)</f>
        <v>89137</v>
      </c>
      <c r="C48" s="38" t="str">
        <f>IF(B48=data!$D$54,texty!$A$239,+VLOOKUP(B48,cennik!$A$3:$G$907,2,FALSE))</f>
        <v>SEVROLL-183 UHOLNÍK 17*11 STRIEBOR. 2,35</v>
      </c>
      <c r="D48" s="30"/>
      <c r="E48" s="92">
        <f>IF(B48=data!$D$63,0,+VLOOKUP(B48,cennik!$A$3:$G$907,3,FALSE))</f>
        <v>3.5673900000000001</v>
      </c>
      <c r="F48" s="92">
        <f t="shared" si="3"/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  <c r="M48" s="6"/>
    </row>
    <row r="49" spans="1:14" ht="12.75" customHeight="1">
      <c r="A49" s="73" t="str">
        <f>texty!$A$124</f>
        <v>uholník K2 19x18mm - 3,00m</v>
      </c>
      <c r="B49" s="15">
        <f>+VLOOKUP($P$7,data!$C$533:$D$542,2,0)</f>
        <v>89140</v>
      </c>
      <c r="C49" s="38" t="str">
        <f>IF(B49=data!$D$54,texty!$A$239,+VLOOKUP(B49,cennik!$A$3:$G$907,2,FALSE))</f>
        <v>SEVROLL-184 UHOLNÍK 17*11 STRIEBOR. 3M</v>
      </c>
      <c r="D49" s="30"/>
      <c r="E49" s="92">
        <f>IF(B49=data!$D$63,0,+VLOOKUP(B49,cennik!$A$3:$G$907,3,FALSE))</f>
        <v>4.4833400000000001</v>
      </c>
      <c r="F49" s="92">
        <f t="shared" si="3"/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6"/>
      <c r="M49" s="6"/>
    </row>
    <row r="50" spans="1:14" ht="12.75" customHeight="1">
      <c r="A50" s="146" t="str">
        <f>texty!$A$241</f>
        <v>klínok pre dilatáciu výplne 16mm</v>
      </c>
      <c r="B50" s="16">
        <v>308631</v>
      </c>
      <c r="C50" s="38" t="str">
        <f>+VLOOKUP(B50,cennik!$A:$G,2,FALSE)</f>
        <v>SEVROLL klin pre lamino (100 ks) tl. 2mm</v>
      </c>
      <c r="D50" s="29"/>
      <c r="E50" s="219">
        <f>+VLOOKUP(B50,cennik!$A:$G,3,FALSE)</f>
        <v>9.0389999999999997</v>
      </c>
      <c r="F50" s="106">
        <f t="shared" ref="F50" si="4">+E50*D50</f>
        <v>0</v>
      </c>
      <c r="G50" s="105">
        <f t="shared" ref="G50" si="5">+F50*(100-$G$23)/100</f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5"/>
      <c r="L50" s="6"/>
    </row>
    <row r="51" spans="1:14" ht="12.75" customHeight="1">
      <c r="A51" s="73" t="str">
        <f>texty!$A$240</f>
        <v>zámok posuvných dverí</v>
      </c>
      <c r="B51" s="24">
        <v>216363</v>
      </c>
      <c r="C51" s="38" t="str">
        <f>+VLOOKUP(B51,cennik!$A:$G,2,FALSE)</f>
        <v>SEVROLL zámok na posuvné dvere 18 mm</v>
      </c>
      <c r="D51" s="29"/>
      <c r="E51" s="219">
        <f>+VLOOKUP(B51,cennik!$A:$G,3,FALSE)</f>
        <v>17.186150000000001</v>
      </c>
      <c r="F51" s="106">
        <f>+E51*D51</f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L51" s="6"/>
      <c r="M51" s="6"/>
    </row>
    <row r="52" spans="1:14" ht="12.75" customHeight="1">
      <c r="A52" s="73" t="str">
        <f>texty!$A$112</f>
        <v>protiprachový kartáč samolepiaci</v>
      </c>
      <c r="B52" s="24">
        <v>308639</v>
      </c>
      <c r="C52" s="25" t="str">
        <f>+VLOOKUP(B52,cennik!$A:$G,2,FALSE)</f>
        <v>SEVROLL protiprachový kartáč samolep. 6,7x13mm</v>
      </c>
      <c r="D52" s="29"/>
      <c r="E52" s="219">
        <f>+VLOOKUP(B52,cennik!$A:$G,3,FALSE)</f>
        <v>0.28210000000000002</v>
      </c>
      <c r="F52" s="106">
        <f>+E52*D52</f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  <c r="M52" s="6"/>
    </row>
    <row r="53" spans="1:14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L53" s="6"/>
    </row>
    <row r="54" spans="1:14" ht="16">
      <c r="A54" s="285" t="str">
        <f>texty!$A$190</f>
        <v>Ďalšie príslušenstvo</v>
      </c>
      <c r="B54" s="286"/>
      <c r="C54" s="286"/>
      <c r="D54" s="286"/>
      <c r="E54" s="371"/>
      <c r="F54" s="286"/>
      <c r="G54" s="286"/>
      <c r="H54" s="286"/>
      <c r="I54" s="286"/>
      <c r="J54" s="135"/>
      <c r="L54" s="6"/>
    </row>
    <row r="55" spans="1:14" ht="12.75" customHeight="1">
      <c r="A55" s="285" t="str">
        <f>texty!$A$244</f>
        <v>Technický nákres tohoto systému</v>
      </c>
      <c r="B55" s="17"/>
      <c r="C55" s="25"/>
      <c r="D55" s="77" t="str">
        <f>Faworyt!D61</f>
        <v>CELKOM  (bez DPH)</v>
      </c>
      <c r="E55" s="115"/>
      <c r="F55" s="118">
        <f>SUM(F25:F53)</f>
        <v>117.79624999999999</v>
      </c>
      <c r="G55" s="119">
        <f>SUM(G25:G53)</f>
        <v>117.79624999999999</v>
      </c>
      <c r="H55" s="6" t="str">
        <f>cennik!$B$2</f>
        <v>EUR</v>
      </c>
      <c r="L55" s="6"/>
    </row>
    <row r="56" spans="1:14" ht="12.75" customHeight="1">
      <c r="A56" s="76" t="str">
        <f>System10!$A$67</f>
        <v>Vaša poznámka:</v>
      </c>
      <c r="B56" s="670"/>
      <c r="C56" s="671"/>
      <c r="D56" s="671"/>
      <c r="E56" s="671"/>
      <c r="F56" s="671"/>
      <c r="G56" s="672"/>
      <c r="H56" s="6"/>
      <c r="L56" s="6"/>
    </row>
    <row r="57" spans="1:14" ht="12.75" customHeight="1">
      <c r="A57" s="668">
        <f>profil!$U$15</f>
        <v>0</v>
      </c>
      <c r="B57" s="658"/>
      <c r="C57" s="658"/>
      <c r="D57" s="658"/>
      <c r="E57" s="658"/>
      <c r="F57" s="658"/>
      <c r="G57" s="658"/>
      <c r="H57" s="658"/>
      <c r="L57" s="6"/>
    </row>
    <row r="58" spans="1:14" ht="12.75" customHeight="1">
      <c r="A58" s="659" t="str">
        <f>IF(N58=1,texty!$A$215,IF(J58&gt;0,texty!$A$214,""))</f>
        <v/>
      </c>
      <c r="B58" s="659"/>
      <c r="C58" s="659"/>
      <c r="D58" s="659"/>
      <c r="E58" s="659"/>
      <c r="F58" s="659"/>
      <c r="G58" s="659"/>
      <c r="H58" s="659"/>
      <c r="J58" s="6">
        <f>SUM(J25:J52)</f>
        <v>0</v>
      </c>
      <c r="L58" s="6" t="str">
        <f>texty!A128</f>
        <v xml:space="preserve">strieborná </v>
      </c>
      <c r="N58" s="5">
        <f>IF(ISERROR(J58),1,0)</f>
        <v>0</v>
      </c>
    </row>
    <row r="59" spans="1:14" ht="12.75" customHeight="1">
      <c r="A59" s="7"/>
      <c r="B59" s="675"/>
      <c r="C59" s="658"/>
      <c r="D59" s="658"/>
      <c r="E59" s="658"/>
      <c r="F59" s="658"/>
      <c r="G59" s="658"/>
      <c r="H59" s="658"/>
      <c r="L59" s="6"/>
    </row>
    <row r="60" spans="1:14" ht="12.75" hidden="1" customHeight="1">
      <c r="A60" s="64"/>
      <c r="L60" s="6"/>
    </row>
    <row r="61" spans="1:14" ht="12.75" customHeight="1"/>
  </sheetData>
  <sheetProtection algorithmName="SHA-512" hashValue="FLkSJ0eLaKxyYO40Q5f9dIZAws2lmc2y6KWWnn7l3oEs11itjPBkYFrHq4quyWKoJYQkTZFHXaSpZCyDP8k0TQ==" saltValue="DcswgAK32PMeFCB2BF3Lkw==" spinCount="100000" sheet="1" objects="1" scenarios="1"/>
  <mergeCells count="7">
    <mergeCell ref="B5:E5"/>
    <mergeCell ref="A57:H57"/>
    <mergeCell ref="B59:H59"/>
    <mergeCell ref="A58:H58"/>
    <mergeCell ref="B56:G56"/>
    <mergeCell ref="G4:I7"/>
    <mergeCell ref="A13:B14"/>
  </mergeCells>
  <conditionalFormatting sqref="D6">
    <cfRule type="expression" dxfId="57" priority="5">
      <formula>$D$4=4</formula>
    </cfRule>
    <cfRule type="expression" dxfId="56" priority="6">
      <formula>$D$4&lt;&gt;4</formula>
    </cfRule>
  </conditionalFormatting>
  <conditionalFormatting sqref="G4">
    <cfRule type="expression" dxfId="55" priority="4">
      <formula>$D$4=4</formula>
    </cfRule>
  </conditionalFormatting>
  <conditionalFormatting sqref="A13">
    <cfRule type="expression" dxfId="54" priority="3">
      <formula>SUM($D$38:$D$39)&gt;0</formula>
    </cfRule>
  </conditionalFormatting>
  <dataValidations count="6">
    <dataValidation type="list" allowBlank="1" showInputMessage="1" showErrorMessage="1" sqref="E4" xr:uid="{00000000-0002-0000-2000-000000000000}">
      <formula1>$L$58</formula1>
    </dataValidation>
    <dataValidation type="whole" allowBlank="1" showInputMessage="1" showErrorMessage="1" errorTitle="Musí být celé číslo" promptTitle="Musí být celé číslo" sqref="D4" xr:uid="{00000000-0002-0000-2000-000001000000}">
      <formula1>0</formula1>
      <formula2>9</formula2>
    </dataValidation>
    <dataValidation type="list" allowBlank="1" showInputMessage="1" showErrorMessage="1" sqref="E5:F6" xr:uid="{00000000-0002-0000-2000-000002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2000-000003000000}">
      <formula1>0</formula1>
      <formula2>2742</formula2>
    </dataValidation>
    <dataValidation type="whole" allowBlank="1" showInputMessage="1" showErrorMessage="1" errorTitle="Nelze" error="Maximální šířka otvoru je 3600 mm" promptTitle="Maximální šířka otvoru je 3600mm" sqref="C4" xr:uid="{00000000-0002-0000-2000-000004000000}">
      <formula1>0</formula1>
      <formula2>3600</formula2>
    </dataValidation>
    <dataValidation type="list" allowBlank="1" showInputMessage="1" showErrorMessage="1" sqref="D6" xr:uid="{00000000-0002-0000-2000-000005000000}">
      <formula1>$L$1:$L$2</formula1>
    </dataValidation>
  </dataValidations>
  <hyperlinks>
    <hyperlink ref="A2" location="profil!A1" display="Universal" xr:uid="{00000000-0004-0000-2000-000000000000}"/>
    <hyperlink ref="A54" location="příslušenství!A56" display="příslušenství!A56" xr:uid="{00000000-0004-0000-2000-000001000000}"/>
    <hyperlink ref="A55" location="'sys. 18mm'!A56" display="'sys. 18mm'!A56" xr:uid="{08C86CFC-711B-4C95-8A54-F135E6A316F0}"/>
  </hyperlinks>
  <pageMargins left="0.70866141732283472" right="0.70866141732283472" top="0.25" bottom="0.34" header="0.17" footer="0.22"/>
  <pageSetup paperSize="9" scale="8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CA89FE7-07B0-44E2-B0B8-80A2FE7FCC7F}">
            <xm:f>$I25=texty!$A$250</xm:f>
            <x14:dxf>
              <font>
                <color rgb="FFFF0000"/>
              </font>
            </x14:dxf>
          </x14:cfRule>
          <xm:sqref>I25:I52</xm:sqref>
        </x14:conditionalFormatting>
        <x14:conditionalFormatting xmlns:xm="http://schemas.microsoft.com/office/excel/2006/main">
          <x14:cfRule type="expression" priority="1" id="{A0FEB9F5-53ED-4EB8-B7B4-B5801835DE89}">
            <xm:f>$I25=texty!$A$250</xm:f>
            <x14:dxf>
              <font>
                <color rgb="FFFF0000"/>
              </font>
            </x14:dxf>
          </x14:cfRule>
          <xm:sqref>A25:H52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25">
    <pageSetUpPr fitToPage="1"/>
  </sheetPr>
  <dimension ref="A1:Q71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46.5" style="5" bestFit="1" customWidth="1"/>
    <col min="4" max="4" width="14.16406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16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-7</v>
      </c>
    </row>
    <row r="2" spans="1:16" ht="18.75" customHeight="1">
      <c r="A2" s="538" t="s">
        <v>733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16" ht="29" thickBot="1">
      <c r="A3" s="539" t="str">
        <f>CONCATENATE(texty!A243," ",5,".",81)</f>
        <v>katalóg kovania 2018 str. 5.81</v>
      </c>
      <c r="B3" s="434" t="str">
        <f>CONCATENATE(texty!A34," / max.         2 742 mm /")</f>
        <v>výška / max.         2 742 mm /</v>
      </c>
      <c r="C3" s="435" t="str">
        <f>CONCATENATE(texty!A35," / max 3 600 mm /")</f>
        <v>šírka / max 3 600 mm /</v>
      </c>
      <c r="D3" s="9" t="str">
        <f>+System10!D3</f>
        <v>počet dverí:</v>
      </c>
      <c r="E3" s="9" t="str">
        <f>+System10!E3</f>
        <v>farba</v>
      </c>
      <c r="F3" s="8"/>
      <c r="G3" s="6"/>
      <c r="H3" s="6"/>
      <c r="L3" s="6"/>
    </row>
    <row r="4" spans="1:16" ht="18" customHeight="1">
      <c r="A4" s="10" t="str">
        <f>+System10!A4</f>
        <v>VNÚTORNÝ ROZMER SKRINE:</v>
      </c>
      <c r="B4" s="543"/>
      <c r="C4" s="544"/>
      <c r="D4" s="545">
        <v>2</v>
      </c>
      <c r="E4" s="545" t="s">
        <v>7991</v>
      </c>
      <c r="F4" s="8"/>
      <c r="G4" s="656"/>
      <c r="H4" s="656"/>
      <c r="I4" s="656"/>
      <c r="K4" s="195"/>
      <c r="L4" s="8"/>
    </row>
    <row r="5" spans="1:16" ht="18" customHeight="1">
      <c r="A5" s="10"/>
      <c r="B5" s="673" t="str">
        <f>texty!A46</f>
        <v>vypíšte tieto 4 políčka !!! Údaje v mm</v>
      </c>
      <c r="C5" s="673"/>
      <c r="D5" s="673"/>
      <c r="E5" s="673"/>
      <c r="F5" s="485"/>
      <c r="G5" s="656"/>
      <c r="H5" s="656"/>
      <c r="I5" s="656"/>
      <c r="K5" s="195"/>
      <c r="L5" s="3"/>
      <c r="M5" s="17"/>
      <c r="N5" s="21"/>
      <c r="O5" s="17"/>
    </row>
    <row r="6" spans="1:16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M6" s="23"/>
      <c r="N6" s="21"/>
      <c r="O6" s="23"/>
    </row>
    <row r="7" spans="1:16" ht="12.75" customHeight="1">
      <c r="A7" s="10" t="str">
        <f>texty!A47</f>
        <v>krídlo dverí:</v>
      </c>
      <c r="B7" s="57">
        <f>+B4-42</f>
        <v>-42</v>
      </c>
      <c r="C7" s="59">
        <f>+((C4+28*(D4-1))/D4+IF(AND(D4=4,D6=2),M1,0))</f>
        <v>14</v>
      </c>
      <c r="D7" s="8"/>
      <c r="E7" s="8"/>
      <c r="F7" s="8"/>
      <c r="G7" s="50"/>
      <c r="H7" s="6"/>
      <c r="L7" s="6"/>
      <c r="N7" s="17">
        <f>IF(C4&lt;1801,1800,IF(C4&lt;2701,2700,IF(C4&lt;3601,3600,texty!A178)))</f>
        <v>1800</v>
      </c>
      <c r="O7" s="21" t="str">
        <f>+E4</f>
        <v>strieborná</v>
      </c>
      <c r="P7" s="21"/>
    </row>
    <row r="8" spans="1:16" ht="12.75" customHeight="1">
      <c r="A8" s="10" t="str">
        <f>texty!A48</f>
        <v>rozmer výplne 18mm:</v>
      </c>
      <c r="B8" s="57">
        <f>+B7-2</f>
        <v>-44</v>
      </c>
      <c r="C8" s="59">
        <f>+C7-30</f>
        <v>-16</v>
      </c>
      <c r="D8" s="8"/>
      <c r="E8" s="8"/>
      <c r="F8" s="8"/>
      <c r="G8" s="3" t="str">
        <f>Faworyt!G8</f>
        <v>Maximálna hmotnosť krídla je 50 kg</v>
      </c>
      <c r="H8" s="6"/>
      <c r="L8" s="6"/>
      <c r="N8" s="23" t="str">
        <f>CONCATENATE(N7,"-",E4)</f>
        <v>1800-strieborná</v>
      </c>
      <c r="O8" s="21"/>
      <c r="P8" s="21"/>
    </row>
    <row r="9" spans="1:16" ht="12.75" customHeight="1">
      <c r="A9" s="10" t="str">
        <f>texty!$A$51</f>
        <v>Dĺžka úchytkového profilu (+2 mm)</v>
      </c>
      <c r="B9" s="68">
        <f>B8+2</f>
        <v>-42</v>
      </c>
      <c r="C9" s="138"/>
      <c r="D9" s="8"/>
      <c r="E9" s="8"/>
      <c r="F9" s="8"/>
      <c r="G9" s="3"/>
      <c r="H9" s="6"/>
      <c r="L9" s="36"/>
      <c r="O9" s="23"/>
      <c r="P9" s="21"/>
    </row>
    <row r="10" spans="1:16" ht="12.75" customHeight="1">
      <c r="A10" s="173" t="str">
        <f>texty!A$64</f>
        <v>Pri tejto zostave nie je možné použiť kombináciu so sklom / zrkadlom</v>
      </c>
      <c r="B10" s="65"/>
      <c r="C10" s="86"/>
      <c r="D10" s="8"/>
      <c r="H10" s="6"/>
      <c r="L10" s="6"/>
    </row>
    <row r="11" spans="1:16" ht="28">
      <c r="A11" s="644" t="str">
        <f>IF(SUM(D36:D37)&gt;0,texty!A246,"")</f>
        <v/>
      </c>
      <c r="B11" s="644"/>
      <c r="C11" s="515" t="str">
        <f>texty!A78</f>
        <v>dodatočné odpočty výšky vypočítaných výplní pri použití deliacich profilov výplne:</v>
      </c>
      <c r="D11" s="8"/>
      <c r="G11" s="6"/>
      <c r="L11" s="35"/>
    </row>
    <row r="12" spans="1:16" ht="13">
      <c r="A12" s="644"/>
      <c r="B12" s="644"/>
      <c r="C12" s="515"/>
      <c r="D12" s="8"/>
      <c r="G12" s="6"/>
      <c r="L12" s="35"/>
    </row>
    <row r="13" spans="1:16" ht="13">
      <c r="A13" s="7"/>
      <c r="B13" s="58"/>
      <c r="C13" s="515"/>
      <c r="D13" s="8"/>
      <c r="G13" s="6"/>
      <c r="L13" s="35"/>
    </row>
    <row r="14" spans="1:16" ht="12.75" customHeight="1">
      <c r="A14" s="193"/>
      <c r="B14" s="65"/>
      <c r="C14" s="169"/>
      <c r="D14" s="8"/>
      <c r="E14" s="8"/>
      <c r="F14" s="8"/>
      <c r="G14" s="6"/>
      <c r="H14" s="6"/>
      <c r="L14" s="6"/>
    </row>
    <row r="15" spans="1:16" ht="12.75" customHeight="1">
      <c r="A15" s="10"/>
      <c r="B15" s="8"/>
      <c r="C15" s="12"/>
      <c r="D15" s="8"/>
      <c r="E15" s="8"/>
      <c r="F15" s="8"/>
      <c r="G15" s="6"/>
      <c r="H15" s="6"/>
      <c r="L15" s="6"/>
    </row>
    <row r="16" spans="1:16" ht="12.75" customHeight="1">
      <c r="A16" s="10"/>
      <c r="B16" s="8"/>
      <c r="C16" s="12"/>
      <c r="D16" s="8"/>
      <c r="E16" s="8"/>
      <c r="F16" s="8"/>
      <c r="G16" s="6"/>
      <c r="H16" s="6"/>
      <c r="L16" s="6"/>
    </row>
    <row r="17" spans="1:12" ht="14.25" customHeight="1">
      <c r="A17" s="10"/>
      <c r="B17" s="8"/>
      <c r="C17" s="27"/>
      <c r="D17" s="8"/>
      <c r="E17" s="8"/>
      <c r="F17" s="8"/>
      <c r="G17" s="6"/>
      <c r="H17" s="6"/>
      <c r="L17" s="6"/>
    </row>
    <row r="18" spans="1:12" ht="16.5" customHeight="1">
      <c r="B18" s="8"/>
      <c r="C18" s="8"/>
      <c r="E18" s="8"/>
      <c r="F18" s="8"/>
      <c r="G18" s="6"/>
      <c r="H18" s="6"/>
      <c r="L18" s="6"/>
    </row>
    <row r="19" spans="1:12" ht="16.5" customHeight="1">
      <c r="A19" s="522" t="s">
        <v>2962</v>
      </c>
      <c r="B19" s="8"/>
      <c r="C19" s="8"/>
      <c r="D19" s="13"/>
      <c r="E19" s="8"/>
      <c r="F19" s="8"/>
      <c r="G19" s="6"/>
      <c r="H19" s="6"/>
      <c r="L19" s="6"/>
    </row>
    <row r="20" spans="1:12" ht="12.75" customHeight="1">
      <c r="A20" s="7"/>
      <c r="B20" s="8"/>
      <c r="C20" s="8"/>
      <c r="D20" s="8"/>
      <c r="E20" s="8"/>
      <c r="F20" s="6"/>
      <c r="G20" s="135" t="str">
        <f>+System10!G25</f>
        <v>partnerská zľava:</v>
      </c>
      <c r="H20" s="6"/>
      <c r="L20" s="6"/>
    </row>
    <row r="21" spans="1:12" ht="12.75" customHeight="1">
      <c r="A21" s="14" t="str">
        <f>+System10!$A$26</f>
        <v>Objednávacie kódy, ceny:</v>
      </c>
      <c r="B21" s="8"/>
      <c r="C21" s="8"/>
      <c r="D21" s="8"/>
      <c r="E21" s="8"/>
      <c r="F21" s="6"/>
      <c r="G21" s="121">
        <f>profil!C15</f>
        <v>0</v>
      </c>
      <c r="H21" s="6" t="s">
        <v>70</v>
      </c>
      <c r="L21" s="6"/>
    </row>
    <row r="22" spans="1:12" s="83" customFormat="1" ht="12.75" customHeight="1">
      <c r="B22" s="82" t="str">
        <f>+System10!B27</f>
        <v>kód</v>
      </c>
      <c r="C22" s="82" t="str">
        <f>+System10!C27</f>
        <v>názov</v>
      </c>
      <c r="D22" s="82" t="str">
        <f>+System10!D27</f>
        <v>ks</v>
      </c>
      <c r="E22" s="82" t="str">
        <f>+System10!E27</f>
        <v>cena/ks</v>
      </c>
      <c r="F22" s="18" t="str">
        <f>+System10!F27</f>
        <v>cena celkom</v>
      </c>
      <c r="G22" s="18" t="str">
        <f>+System10!G27</f>
        <v>celkom netto:</v>
      </c>
      <c r="H22" s="18"/>
      <c r="I22" s="18" t="str">
        <f>texty!A29</f>
        <v>Poznámka:</v>
      </c>
      <c r="J22" s="18"/>
      <c r="L22" s="18"/>
    </row>
    <row r="23" spans="1:12" ht="12.75" customHeight="1">
      <c r="A23" s="7" t="str">
        <f>+Faworyt!A26</f>
        <v>Horný profil:</v>
      </c>
      <c r="B23" s="8" t="e">
        <f>+VLOOKUP(N8,data!$C$678:$D$680,2,0)</f>
        <v>#N/A</v>
      </c>
      <c r="C23" s="38" t="e">
        <f>+VLOOKUP(B23,cennik!$A:$G,2,FALSE)</f>
        <v>#N/A</v>
      </c>
      <c r="D23" s="8">
        <v>1</v>
      </c>
      <c r="E23" s="219" t="e">
        <f>+VLOOKUP(B23,cennik!$A:$G,3,FALSE)</f>
        <v>#N/A</v>
      </c>
      <c r="F23" s="92" t="e">
        <f t="shared" ref="F23:F28" si="0">+E23*D23</f>
        <v>#N/A</v>
      </c>
      <c r="G23" s="93" t="e">
        <f t="shared" ref="G23:G28" si="1">+F23*(100-$G$21)/100</f>
        <v>#N/A</v>
      </c>
      <c r="H23" s="6" t="str">
        <f>cennik!$B$2</f>
        <v>EUR</v>
      </c>
      <c r="I23" s="483" t="str">
        <f>IFERROR(IF((VLOOKUP(B23,cennik!A:L,12,0))="O",texty!$A$250,""),"")</f>
        <v/>
      </c>
      <c r="J23" s="196" t="e">
        <f>IF(D23&gt;0,IF(VLOOKUP(B23,cennik!A:L,12,FALSE)="O",1,""),"")</f>
        <v>#N/A</v>
      </c>
      <c r="L23" s="6"/>
    </row>
    <row r="24" spans="1:12" ht="12.75" customHeight="1">
      <c r="A24" s="7" t="str">
        <f>+Faworyt!A27</f>
        <v>spodný profil:</v>
      </c>
      <c r="B24" s="8" t="e">
        <f>+VLOOKUP(N8,data!$C$681:$D$683,2,0)</f>
        <v>#N/A</v>
      </c>
      <c r="C24" s="38" t="e">
        <f>+VLOOKUP(B24,cennik!$A:$G,2,FALSE)</f>
        <v>#N/A</v>
      </c>
      <c r="D24" s="8">
        <v>1</v>
      </c>
      <c r="E24" s="219" t="e">
        <f>+VLOOKUP(B24,cennik!$A:$G,3,FALSE)</f>
        <v>#N/A</v>
      </c>
      <c r="F24" s="92" t="e">
        <f t="shared" si="0"/>
        <v>#N/A</v>
      </c>
      <c r="G24" s="93" t="e">
        <f t="shared" si="1"/>
        <v>#N/A</v>
      </c>
      <c r="H24" s="6" t="str">
        <f>cennik!$B$2</f>
        <v>EUR</v>
      </c>
      <c r="I24" s="483" t="str">
        <f>IFERROR(IF((VLOOKUP(B24,cennik!A:L,12,0))="O",texty!$A$250,""),"")</f>
        <v/>
      </c>
      <c r="J24" s="196" t="e">
        <f>IF(D24&gt;0,IF(VLOOKUP(B24,cennik!A:L,12,FALSE)="O",1,""),"")</f>
        <v>#N/A</v>
      </c>
      <c r="L24" s="6"/>
    </row>
    <row r="25" spans="1:12" ht="12.75" customHeight="1">
      <c r="A25" s="7" t="str">
        <f>+Faworyt!A29</f>
        <v>horný vozík</v>
      </c>
      <c r="B25" s="16">
        <v>228023</v>
      </c>
      <c r="C25" s="38" t="str">
        <f>+VLOOKUP(B25,cennik!$A:$G,2,FALSE)</f>
        <v>SEVROLL Focus horný vozík 18mm - 2ks</v>
      </c>
      <c r="D25" s="17">
        <f>IF((D39+D38)&gt;D4,0,D4-(D38+D39))</f>
        <v>2</v>
      </c>
      <c r="E25" s="219">
        <f>+VLOOKUP(B25,cennik!$A:$G,3,FALSE)</f>
        <v>4.0494700000000003</v>
      </c>
      <c r="F25" s="92">
        <f t="shared" si="0"/>
        <v>8.0989400000000007</v>
      </c>
      <c r="G25" s="93">
        <f t="shared" si="1"/>
        <v>8.0989400000000007</v>
      </c>
      <c r="H25" s="6" t="str">
        <f>cennik!$B$2</f>
        <v>EUR</v>
      </c>
      <c r="I25" s="483" t="str">
        <f>IFERROR(IF((VLOOKUP(B25,cennik!A:L,12,0))="O",texty!$A$250,""),"")</f>
        <v/>
      </c>
      <c r="J25" s="196" t="str">
        <f>IF(D25&gt;0,IF(VLOOKUP(B25,cennik!A:L,12,FALSE)="O",1,""),"")</f>
        <v/>
      </c>
      <c r="L25" s="6"/>
    </row>
    <row r="26" spans="1:12" ht="12.75" customHeight="1">
      <c r="A26" s="7" t="str">
        <f>+Faworyt!A30</f>
        <v>spodný vozík</v>
      </c>
      <c r="B26" s="16">
        <v>362316</v>
      </c>
      <c r="C26" s="38" t="str">
        <f>+VLOOKUP(B26,cennik!$A:$G,2,FALSE)</f>
        <v>SEV-2x spodný vozík DTD 18mm, bez pozicionéru, bez pružiny</v>
      </c>
      <c r="D26" s="17">
        <f>+D4</f>
        <v>2</v>
      </c>
      <c r="E26" s="219">
        <f>+VLOOKUP(B26,cennik!$A:$G,3,FALSE)</f>
        <v>4.5556599999999996</v>
      </c>
      <c r="F26" s="92">
        <f t="shared" si="0"/>
        <v>9.1113199999999992</v>
      </c>
      <c r="G26" s="93">
        <f t="shared" si="1"/>
        <v>9.1113199999999992</v>
      </c>
      <c r="H26" s="6" t="str">
        <f>cennik!$B$2</f>
        <v>EUR</v>
      </c>
      <c r="I26" s="483" t="str">
        <f>IFERROR(IF((VLOOKUP(B26,cennik!A:L,12,0))="O",texty!$A$250,""),"")</f>
        <v/>
      </c>
      <c r="J26" s="196" t="str">
        <f>IF(D26&gt;0,IF(VLOOKUP(B26,cennik!A:L,12,FALSE)="O",1,""),"")</f>
        <v/>
      </c>
      <c r="L26" s="6"/>
    </row>
    <row r="27" spans="1:12" ht="12.75" customHeight="1">
      <c r="A27" s="7" t="str">
        <f>+Faworyt!A31</f>
        <v>dorazový kartáč</v>
      </c>
      <c r="B27" s="16">
        <v>229433</v>
      </c>
      <c r="C27" s="38" t="str">
        <f>+VLOOKUP(B27,cennik!$A:$G,2,FALSE)</f>
        <v>SEVROLL dorazový kartáč zásuvný 4,8x4mm</v>
      </c>
      <c r="D27" s="17">
        <f>CEILING((B4*D4*2/1000),1)</f>
        <v>0</v>
      </c>
      <c r="E27" s="219">
        <f>+VLOOKUP(B27,cennik!$A:$G,3,FALSE)</f>
        <v>6.4699999999999994E-2</v>
      </c>
      <c r="F27" s="92">
        <f t="shared" si="0"/>
        <v>0</v>
      </c>
      <c r="G27" s="93">
        <f t="shared" si="1"/>
        <v>0</v>
      </c>
      <c r="H27" s="6" t="str">
        <f>cennik!$B$2</f>
        <v>EUR</v>
      </c>
      <c r="I27" s="483" t="str">
        <f>IFERROR(IF((VLOOKUP(B27,cennik!A:L,12,0))="O",texty!$A$250,""),"")</f>
        <v/>
      </c>
      <c r="J27" s="196" t="str">
        <f>IF(D27&gt;0,IF(VLOOKUP(B27,cennik!A:L,12,FALSE)="O",1,""),"")</f>
        <v/>
      </c>
      <c r="L27" s="6"/>
    </row>
    <row r="28" spans="1:12" ht="12.75" customHeight="1">
      <c r="A28" s="7" t="str">
        <f>+Faworyt!A32</f>
        <v>úchytková lišta</v>
      </c>
      <c r="B28" s="16">
        <v>98001</v>
      </c>
      <c r="C28" s="38" t="str">
        <f>+VLOOKUP(B28,cennik!$A:$G,2,FALSE)</f>
        <v>ASTIN Elegant úch.lišta 2,7m str. (22/1)</v>
      </c>
      <c r="D28" s="17">
        <f>IF(B9&lt;=1347,D4*2/2,D4*2)</f>
        <v>2</v>
      </c>
      <c r="E28" s="219">
        <f>+VLOOKUP(B28,cennik!$A:$G,3,FALSE)</f>
        <v>20.126840000000001</v>
      </c>
      <c r="F28" s="92">
        <f t="shared" si="0"/>
        <v>40.253680000000003</v>
      </c>
      <c r="G28" s="93">
        <f t="shared" si="1"/>
        <v>40.253680000000003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</row>
    <row r="29" spans="1:12" ht="12.75" customHeight="1">
      <c r="A29" s="7"/>
      <c r="B29" s="16"/>
      <c r="C29" s="25"/>
      <c r="D29" s="17"/>
      <c r="E29" s="92"/>
      <c r="F29" s="92"/>
      <c r="G29" s="93"/>
      <c r="H29" s="6"/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</row>
    <row r="30" spans="1:12" s="129" customFormat="1" ht="12.75" customHeight="1">
      <c r="A30" s="14" t="str">
        <f>texty!$A$66</f>
        <v>Voliteľné príslušenstvo:</v>
      </c>
      <c r="B30" s="124"/>
      <c r="C30" s="125"/>
      <c r="D30" s="491" t="str">
        <f>Faworyt!$D$34</f>
        <v>zadajte počet:</v>
      </c>
      <c r="E30" s="133"/>
      <c r="F30" s="133"/>
      <c r="G30" s="134"/>
      <c r="H30" s="128"/>
      <c r="I30" s="483" t="str">
        <f>IFERROR(IF((VLOOKUP(B30,cennik!A:L,12,0))="O",texty!$A$250,""),"")</f>
        <v/>
      </c>
      <c r="J30" s="196"/>
      <c r="L30" s="128"/>
    </row>
    <row r="31" spans="1:12" ht="12.75" customHeight="1">
      <c r="A31" s="73" t="str">
        <f>texty!$A$88</f>
        <v>pozicionér do horného vedenia</v>
      </c>
      <c r="B31" s="192">
        <v>298035</v>
      </c>
      <c r="C31" s="38" t="str">
        <f>+VLOOKUP(B31,cennik!$A:$G,2,FALSE)</f>
        <v>SEVROLL Fix pozicionér pre horný vozík tran.</v>
      </c>
      <c r="D31" s="29"/>
      <c r="E31" s="219">
        <f>+VLOOKUP(B31,cennik!$A:$G,3,FALSE)</f>
        <v>1.0605800000000001</v>
      </c>
      <c r="F31" s="106">
        <f>+E31*D31</f>
        <v>0</v>
      </c>
      <c r="G31" s="105">
        <f>+F31*(100-$G$21)/100</f>
        <v>0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12" ht="12.75" customHeight="1">
      <c r="A32" s="73" t="str">
        <f>texty!$A$111</f>
        <v xml:space="preserve">pozicionér </v>
      </c>
      <c r="B32" s="16">
        <v>89063</v>
      </c>
      <c r="C32" s="38" t="str">
        <f>+VLOOKUP(B32,cennik!$A:$G,2,FALSE)</f>
        <v>SEV - pozicionér HI-TEC</v>
      </c>
      <c r="D32" s="29"/>
      <c r="E32" s="219">
        <f>+VLOOKUP(B32,cennik!$A:$G,3,FALSE)</f>
        <v>0.31335000000000002</v>
      </c>
      <c r="F32" s="106">
        <f t="shared" ref="F32:F49" si="2">+E32*D32</f>
        <v>0</v>
      </c>
      <c r="G32" s="105">
        <f t="shared" ref="G32:G49" si="3">+F32*(100-$G$21)/100</f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L32" s="6"/>
    </row>
    <row r="33" spans="1:12" ht="12.75" customHeight="1">
      <c r="A33" s="73" t="str">
        <f>texty!$A$228</f>
        <v> Tlmič dorazu MINI do 25 kg (pár)</v>
      </c>
      <c r="B33" s="16">
        <v>318662</v>
      </c>
      <c r="C33" s="25" t="str">
        <f>+VLOOKUP(B33,cennik!$A:$G,2,FALSE)</f>
        <v>SEVROLL tlmič dorazu Mini SV25 - 2ks</v>
      </c>
      <c r="D33" s="387"/>
      <c r="E33" s="92">
        <f>+VLOOKUP(B33,cennik!$A:$G,3,FALSE)</f>
        <v>22.368510000000001</v>
      </c>
      <c r="F33" s="97">
        <f>+CEILING(D33,1)*E33</f>
        <v>0</v>
      </c>
      <c r="G33" s="105">
        <f t="shared" si="3"/>
        <v>0</v>
      </c>
      <c r="H33" s="24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L33" s="6"/>
    </row>
    <row r="34" spans="1:12" ht="12.75" customHeight="1">
      <c r="A34" s="73" t="str">
        <f>texty!$A$229</f>
        <v> Tlmič dorazu MINI do 40 kg (pár)</v>
      </c>
      <c r="B34" s="24">
        <v>283956</v>
      </c>
      <c r="C34" s="25" t="str">
        <f>+VLOOKUP(B34,cennik!$A:$G,2,FALSE)</f>
        <v>SEVROLL tlmič dorazu Mini SV40 - 2ks</v>
      </c>
      <c r="D34" s="387"/>
      <c r="E34" s="92">
        <f>+VLOOKUP(B34,cennik!$A:$G,3,FALSE)</f>
        <v>22.368510000000001</v>
      </c>
      <c r="F34" s="97">
        <f>+CEILING(D34,1)*E34</f>
        <v>0</v>
      </c>
      <c r="G34" s="105">
        <f t="shared" si="3"/>
        <v>0</v>
      </c>
      <c r="H34" s="24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6"/>
    </row>
    <row r="35" spans="1:12" ht="12.75" customHeight="1">
      <c r="A35" s="73" t="str">
        <f>texty!$A$230</f>
        <v> Tlmič dorazu MINI do 60 kg (pár)</v>
      </c>
      <c r="B35" s="24">
        <v>351743</v>
      </c>
      <c r="C35" s="25" t="str">
        <f>+VLOOKUP(B35,cennik!$A:$G,2,FALSE)</f>
        <v/>
      </c>
      <c r="D35" s="387"/>
      <c r="E35" s="92">
        <f>+VLOOKUP(B35,cennik!$A:$G,3,FALSE)</f>
        <v>22.368510000000001</v>
      </c>
      <c r="F35" s="97">
        <f>+CEILING(D35,1)*E35</f>
        <v>0</v>
      </c>
      <c r="G35" s="105">
        <f t="shared" si="3"/>
        <v>0</v>
      </c>
      <c r="H35" s="24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</row>
    <row r="36" spans="1:12" ht="12.75" customHeight="1">
      <c r="A36" s="73" t="str">
        <f>texty!$A$231</f>
        <v> Tlmič pre stredné krídlo do 25 kg</v>
      </c>
      <c r="B36" s="24">
        <v>318663</v>
      </c>
      <c r="C36" s="25" t="str">
        <f>+VLOOKUP(B36,cennik!$A:$G,2,FALSE)</f>
        <v>SEVROLL tlmič Central 10/18mm obojst. 25 kg</v>
      </c>
      <c r="D36" s="387"/>
      <c r="E36" s="92">
        <f>+VLOOKUP(B36,cennik!$A:$G,3,FALSE)</f>
        <v>47.918750000000003</v>
      </c>
      <c r="F36" s="97">
        <f>+CEILING(D36,1)*E36</f>
        <v>0</v>
      </c>
      <c r="G36" s="105">
        <f t="shared" si="3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</row>
    <row r="37" spans="1:12" ht="12.75" customHeight="1">
      <c r="A37" s="73" t="str">
        <f>texty!$A$232</f>
        <v> Tlmič pre stredné krídlo do 40 kg</v>
      </c>
      <c r="B37" s="24">
        <v>283955</v>
      </c>
      <c r="C37" s="25" t="str">
        <f>+VLOOKUP(B37,cennik!$A:$G,2,FALSE)</f>
        <v>SEVROLL tlmič Central 10/18mm obojst.25-40kg</v>
      </c>
      <c r="D37" s="387"/>
      <c r="E37" s="92">
        <f>+VLOOKUP(B37,cennik!$A:$G,3,FALSE)</f>
        <v>47.918750000000003</v>
      </c>
      <c r="F37" s="97">
        <f>+CEILING(D37,1)*E37</f>
        <v>0</v>
      </c>
      <c r="G37" s="105">
        <f t="shared" si="3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</row>
    <row r="38" spans="1:12" ht="12.75" customHeight="1">
      <c r="A38" s="73" t="str">
        <f>texty!$A$97</f>
        <v>tlmič dorazu (pár) 25 kg</v>
      </c>
      <c r="B38" s="24">
        <v>227185</v>
      </c>
      <c r="C38" s="38" t="str">
        <f>+VLOOKUP(B38,cennik!$A:$G,2,FALSE)</f>
        <v>K-SEVROLL tlmič dorazu 10/18mm 14-25kg(L+P)</v>
      </c>
      <c r="D38" s="29"/>
      <c r="E38" s="219">
        <f>+VLOOKUP(B38,cennik!$A:$G,3,FALSE)</f>
        <v>0</v>
      </c>
      <c r="F38" s="106">
        <f>+E38*D38</f>
        <v>0</v>
      </c>
      <c r="G38" s="105">
        <f t="shared" si="3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</row>
    <row r="39" spans="1:12" ht="12.75" customHeight="1">
      <c r="A39" s="73" t="str">
        <f>texty!$A$98</f>
        <v>tlmič dorazu (pár) 50 kg</v>
      </c>
      <c r="B39" s="24">
        <v>227187</v>
      </c>
      <c r="C39" s="38" t="str">
        <f>+VLOOKUP(B39,cennik!$A:$G,2,FALSE)</f>
        <v>K-SEVROLL tlmič dorazu 10/18mm 25-50kg(L+P)</v>
      </c>
      <c r="D39" s="29"/>
      <c r="E39" s="219">
        <f>+VLOOKUP(B39,cennik!$A:$G,3,FALSE)</f>
        <v>0</v>
      </c>
      <c r="F39" s="106">
        <f>+E39*D39</f>
        <v>0</v>
      </c>
      <c r="G39" s="105">
        <f t="shared" si="3"/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3"/>
    </row>
    <row r="40" spans="1:12" ht="12.75" customHeight="1">
      <c r="A40" s="73" t="str">
        <f>texty!$A$196</f>
        <v>Spona dorazovej kefky</v>
      </c>
      <c r="B40" s="16">
        <v>223569</v>
      </c>
      <c r="C40" s="38" t="str">
        <f>+VLOOKUP(B40,cennik!$A:$G,2,FALSE)</f>
        <v>SEVROLL spona dorazového kartáča</v>
      </c>
      <c r="D40" s="29"/>
      <c r="E40" s="219">
        <f>+VLOOKUP(B40,cennik!$A:$G,3,FALSE)</f>
        <v>7.399E-2</v>
      </c>
      <c r="F40" s="106">
        <f t="shared" si="2"/>
        <v>0</v>
      </c>
      <c r="G40" s="105">
        <f t="shared" si="3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3"/>
    </row>
    <row r="41" spans="1:12" ht="12.75" customHeight="1">
      <c r="A41" s="73" t="str">
        <f>texty!$A$114</f>
        <v>spojovací profil H18-3metre</v>
      </c>
      <c r="B41" s="16">
        <v>98015</v>
      </c>
      <c r="C41" s="38" t="str">
        <f>+VLOOKUP(B41,cennik!$A:$G,2,FALSE)</f>
        <v>ASTIN spojovací H08 profil 3m strieborná</v>
      </c>
      <c r="D41" s="29"/>
      <c r="E41" s="219">
        <f>+VLOOKUP(B41,cennik!$A:$G,3,FALSE)</f>
        <v>10.17736</v>
      </c>
      <c r="F41" s="92">
        <f>+E41*D41</f>
        <v>0</v>
      </c>
      <c r="G41" s="93" t="e">
        <f t="shared" ref="G41" si="4">+F41*(100-$G$23)/100</f>
        <v>#N/A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3"/>
    </row>
    <row r="42" spans="1:12" ht="12.75" customHeight="1">
      <c r="A42" s="73" t="str">
        <f>texty!$A$119</f>
        <v>uholník mini 11x17mm - 1,7m</v>
      </c>
      <c r="B42" s="15">
        <v>98011</v>
      </c>
      <c r="C42" s="38" t="str">
        <f>IF(B42=data!$D$54,texty!$A$239,+VLOOKUP(B42,cennik!$A$3:$G$979,2,FALSE))</f>
        <v>JOKER-UHOLNÍK 1,8M HLINÍK (22/1)</v>
      </c>
      <c r="D42" s="29"/>
      <c r="E42" s="92">
        <f>IF(B42=data!$D$63,0,+VLOOKUP(B42,cennik!$A$3:$G$979,3,FALSE))</f>
        <v>5.4474999999999998</v>
      </c>
      <c r="F42" s="92">
        <f>+E42*D42</f>
        <v>0</v>
      </c>
      <c r="G42" s="105">
        <f t="shared" si="3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6"/>
    </row>
    <row r="43" spans="1:12" ht="12.75" customHeight="1">
      <c r="A43" s="73" t="str">
        <f>texty!$A$120</f>
        <v>uholník mini 11x17mm - 2,35m</v>
      </c>
      <c r="B43" s="15">
        <v>98012</v>
      </c>
      <c r="C43" s="38" t="str">
        <f>IF(B43=data!$D$54,texty!$A$239,+VLOOKUP(B43,cennik!$A$3:$G$979,2,FALSE))</f>
        <v>ASTIN UHOLNÍK 2,7M str. (22/1)</v>
      </c>
      <c r="D43" s="29"/>
      <c r="E43" s="92">
        <f>IF(B43=data!$D$63,0,+VLOOKUP(B43,cennik!$A$3:$G$979,3,FALSE))</f>
        <v>8.5328199999999992</v>
      </c>
      <c r="F43" s="92">
        <f>+E43*D43</f>
        <v>0</v>
      </c>
      <c r="G43" s="105">
        <f t="shared" si="3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6"/>
    </row>
    <row r="44" spans="1:12" ht="12.75" customHeight="1">
      <c r="A44" s="73" t="str">
        <f>texty!$A$121</f>
        <v>uholník mini 11x17mm - 3m</v>
      </c>
      <c r="B44" s="15">
        <v>98013</v>
      </c>
      <c r="C44" s="38" t="str">
        <f>IF(B44=data!$D$54,texty!$A$239,+VLOOKUP(B44,cennik!$A$3:$G$979,2,FALSE))</f>
        <v>JOKER-UHOLNÍK 3,6M HLINÍK (22/1)</v>
      </c>
      <c r="D44" s="29"/>
      <c r="E44" s="92">
        <f>IF(B44=data!$D$63,0,+VLOOKUP(B44,cennik!$A$3:$G$979,3,FALSE))</f>
        <v>11.23246</v>
      </c>
      <c r="F44" s="92">
        <f>+E44*D44</f>
        <v>0</v>
      </c>
      <c r="G44" s="105">
        <f t="shared" si="3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6"/>
    </row>
    <row r="45" spans="1:12" ht="12.75" customHeight="1">
      <c r="A45" s="73" t="str">
        <f>texty!$A$122</f>
        <v>uholník K2 19x18mm - 1,7m</v>
      </c>
      <c r="B45" s="6" t="e">
        <f>+VLOOKUP($O$7,data!$C$513:$D$522,2,0)</f>
        <v>#N/A</v>
      </c>
      <c r="C45" s="38" t="e">
        <f>IF(B45=data!$D$54,texty!$A$239,+VLOOKUP(B45,cennik!$A$3:$G$907,2,FALSE))</f>
        <v>#N/A</v>
      </c>
      <c r="D45" s="29"/>
      <c r="E45" s="92" t="e">
        <f>IF(B45=data!$D$63,0,+VLOOKUP(B45,cennik!$A$3:$G$907,3,FALSE))</f>
        <v>#N/A</v>
      </c>
      <c r="F45" s="92" t="e">
        <f>+E45*D45</f>
        <v>#N/A</v>
      </c>
      <c r="G45" s="105" t="e">
        <f t="shared" si="3"/>
        <v>#N/A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6"/>
    </row>
    <row r="46" spans="1:12" ht="12.75" customHeight="1">
      <c r="A46" s="73" t="str">
        <f>texty!$A$123</f>
        <v>uholník K2 19x18mm - 2,35m</v>
      </c>
      <c r="B46" s="6" t="e">
        <f>+VLOOKUP($O$7,data!$C$523:$D$532,2,0)</f>
        <v>#N/A</v>
      </c>
      <c r="C46" s="38" t="e">
        <f>IF(B46=data!$D$54,texty!$A$239,+VLOOKUP(B46,cennik!$A$3:$G$907,2,FALSE))</f>
        <v>#N/A</v>
      </c>
      <c r="D46" s="30"/>
      <c r="E46" s="92" t="e">
        <f>IF(B46=data!$D$63,0,+VLOOKUP(B46,cennik!$A$3:$G$907,3,FALSE))</f>
        <v>#N/A</v>
      </c>
      <c r="F46" s="92" t="e">
        <f t="shared" si="2"/>
        <v>#N/A</v>
      </c>
      <c r="G46" s="105" t="e">
        <f t="shared" si="3"/>
        <v>#N/A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6"/>
    </row>
    <row r="47" spans="1:12" ht="12.75" customHeight="1">
      <c r="A47" s="73" t="str">
        <f>texty!$A$124</f>
        <v>uholník K2 19x18mm - 3,00m</v>
      </c>
      <c r="B47" s="15" t="e">
        <f>+VLOOKUP($O$7,data!$C$533:$D$542,2,0)</f>
        <v>#N/A</v>
      </c>
      <c r="C47" s="38" t="e">
        <f>IF(B47=data!$D$54,texty!$A$239,+VLOOKUP(B47,cennik!$A$3:$G$907,2,FALSE))</f>
        <v>#N/A</v>
      </c>
      <c r="D47" s="30"/>
      <c r="E47" s="92" t="e">
        <f>IF(B47=data!$D$63,0,+VLOOKUP(B47,cennik!$A$3:$G$907,3,FALSE))</f>
        <v>#N/A</v>
      </c>
      <c r="F47" s="92" t="e">
        <f t="shared" si="2"/>
        <v>#N/A</v>
      </c>
      <c r="G47" s="105" t="e">
        <f t="shared" si="3"/>
        <v>#N/A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</row>
    <row r="48" spans="1:12" ht="12.75" customHeight="1">
      <c r="A48" s="73" t="str">
        <f>texty!$A$240</f>
        <v>zámok posuvných dverí</v>
      </c>
      <c r="B48" s="24">
        <v>216363</v>
      </c>
      <c r="C48" s="38" t="str">
        <f>+VLOOKUP(B48,cennik!$A:$G,2,FALSE)</f>
        <v>SEVROLL zámok na posuvné dvere 18 mm</v>
      </c>
      <c r="D48" s="29"/>
      <c r="E48" s="219">
        <f>+VLOOKUP(B48,cennik!$A:$G,3,FALSE)</f>
        <v>17.186150000000001</v>
      </c>
      <c r="F48" s="106">
        <f t="shared" si="2"/>
        <v>0</v>
      </c>
      <c r="G48" s="105">
        <f t="shared" si="3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</row>
    <row r="49" spans="1:14" ht="12.75" customHeight="1">
      <c r="A49" s="73" t="str">
        <f>texty!$A$112</f>
        <v>protiprachový kartáč samolepiaci</v>
      </c>
      <c r="B49" s="16">
        <v>95946</v>
      </c>
      <c r="C49" s="25" t="str">
        <f>+VLOOKUP(B49,cennik!$A:$G,2,FALSE)</f>
        <v>SEVROLL protiprach.kartáč zásuvný 4,8x13mm</v>
      </c>
      <c r="D49" s="29"/>
      <c r="E49" s="219">
        <f>+VLOOKUP(B49,cennik!$A:$G,3,FALSE)</f>
        <v>0.16506999999999999</v>
      </c>
      <c r="F49" s="106">
        <f t="shared" si="2"/>
        <v>0</v>
      </c>
      <c r="G49" s="105">
        <f t="shared" si="3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6"/>
    </row>
    <row r="50" spans="1:14" ht="12.75" customHeight="1">
      <c r="A50" s="73"/>
      <c r="B50" s="24"/>
      <c r="C50" s="25"/>
      <c r="D50" s="219"/>
      <c r="E50" s="219"/>
      <c r="F50" s="106"/>
      <c r="G50" s="105"/>
      <c r="H50" s="6"/>
      <c r="I50" s="186"/>
      <c r="J50" s="196"/>
      <c r="L50" s="6"/>
    </row>
    <row r="51" spans="1:14" ht="16">
      <c r="A51" s="285" t="str">
        <f>texty!$A$190</f>
        <v>Ďalšie príslušenstvo</v>
      </c>
      <c r="B51" s="286"/>
      <c r="C51" s="286"/>
      <c r="D51" s="286"/>
      <c r="E51" s="286"/>
      <c r="F51" s="286"/>
      <c r="G51" s="286"/>
      <c r="H51" s="286"/>
      <c r="I51" s="286"/>
      <c r="J51" s="286"/>
      <c r="K51" s="135"/>
      <c r="L51" s="6"/>
    </row>
    <row r="52" spans="1:14" ht="12.75" customHeight="1">
      <c r="A52" s="285" t="str">
        <f>texty!$A$244</f>
        <v>Technický nákres tohoto systému</v>
      </c>
      <c r="B52" s="17"/>
      <c r="C52" s="25"/>
      <c r="D52" s="77" t="str">
        <f>Faworyt!D61</f>
        <v>CELKOM  (bez DPH)</v>
      </c>
      <c r="E52" s="115"/>
      <c r="F52" s="118" t="e">
        <f>SUM(F23:F49)</f>
        <v>#N/A</v>
      </c>
      <c r="G52" s="119" t="e">
        <f>SUM(G23:G49)</f>
        <v>#N/A</v>
      </c>
      <c r="H52" s="6" t="str">
        <f>cennik!$B$2</f>
        <v>EUR</v>
      </c>
      <c r="L52" s="6"/>
    </row>
    <row r="53" spans="1:14" ht="12.75" customHeight="1">
      <c r="A53" s="76" t="str">
        <f>System10!$A$67</f>
        <v>Vaša poznámka:</v>
      </c>
      <c r="B53" s="670"/>
      <c r="C53" s="671"/>
      <c r="D53" s="671"/>
      <c r="E53" s="671"/>
      <c r="F53" s="671"/>
      <c r="G53" s="672"/>
      <c r="H53" s="6"/>
      <c r="L53" s="6"/>
    </row>
    <row r="54" spans="1:14" ht="12.75" customHeight="1">
      <c r="A54" s="668">
        <f>profil!$U$15</f>
        <v>0</v>
      </c>
      <c r="B54" s="668"/>
      <c r="C54" s="668"/>
      <c r="D54" s="668"/>
      <c r="E54" s="668"/>
      <c r="F54" s="668"/>
      <c r="G54" s="668"/>
      <c r="H54" s="668"/>
      <c r="L54" s="6"/>
    </row>
    <row r="55" spans="1:14" ht="12.75" customHeight="1">
      <c r="A55" s="659">
        <f>IF(N55=1,texty!$A$215,IF(J55&gt;0,texty!$A$214,""))</f>
        <v>0</v>
      </c>
      <c r="B55" s="659"/>
      <c r="C55" s="659"/>
      <c r="D55" s="659"/>
      <c r="E55" s="659"/>
      <c r="F55" s="659"/>
      <c r="G55" s="659"/>
      <c r="H55" s="659"/>
      <c r="J55" s="6" t="e">
        <f>SUM(J23:J49)</f>
        <v>#N/A</v>
      </c>
      <c r="L55" s="6" t="str">
        <f>texty!A128</f>
        <v xml:space="preserve">strieborná </v>
      </c>
      <c r="M55" s="21" t="s">
        <v>2887</v>
      </c>
      <c r="N55" s="5">
        <f>IF(ISERROR(J55),1,0)</f>
        <v>1</v>
      </c>
    </row>
    <row r="56" spans="1:14" ht="12.75" customHeight="1">
      <c r="A56" s="7"/>
      <c r="B56" s="675"/>
      <c r="C56" s="658"/>
      <c r="D56" s="658"/>
      <c r="E56" s="658"/>
      <c r="F56" s="658"/>
      <c r="G56" s="658"/>
      <c r="H56" s="658"/>
      <c r="L56" s="6"/>
      <c r="M56" s="21" t="s">
        <v>45</v>
      </c>
    </row>
    <row r="57" spans="1:14" ht="12.75" customHeight="1">
      <c r="A57" s="64"/>
      <c r="L57" s="6"/>
    </row>
    <row r="58" spans="1:14" ht="12.75" customHeight="1"/>
    <row r="59" spans="1:14" ht="12.75" customHeight="1"/>
    <row r="60" spans="1:14" ht="12.75" customHeight="1"/>
    <row r="61" spans="1:14" ht="12.75" customHeight="1"/>
    <row r="62" spans="1:14" ht="12.75" customHeight="1"/>
    <row r="63" spans="1:14" ht="12.75" customHeight="1"/>
    <row r="64" spans="1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</sheetData>
  <sheetProtection algorithmName="SHA-512" hashValue="lFIns0H5Wvb6bmTPY0UY2Tsb54nSxhrw9uj37+SZjkSlkI1TQFlh+ofVklkGdL+EQd1Tq3t3U9hTZIPM5XUwYg==" saltValue="CPOMY34fRzqkV3KIH3Gjnw==" spinCount="100000" sheet="1" objects="1" scenarios="1"/>
  <mergeCells count="7">
    <mergeCell ref="B5:E5"/>
    <mergeCell ref="A54:H54"/>
    <mergeCell ref="B56:H56"/>
    <mergeCell ref="A55:H55"/>
    <mergeCell ref="B53:G53"/>
    <mergeCell ref="G4:I6"/>
    <mergeCell ref="A11:B12"/>
  </mergeCells>
  <conditionalFormatting sqref="D6">
    <cfRule type="expression" dxfId="51" priority="5">
      <formula>$D$4=4</formula>
    </cfRule>
    <cfRule type="expression" dxfId="50" priority="6">
      <formula>$D$4&lt;&gt;4</formula>
    </cfRule>
  </conditionalFormatting>
  <conditionalFormatting sqref="G4">
    <cfRule type="expression" dxfId="49" priority="4">
      <formula>$D$4=4</formula>
    </cfRule>
  </conditionalFormatting>
  <conditionalFormatting sqref="A11">
    <cfRule type="expression" dxfId="48" priority="3">
      <formula>SUM($D$36:$D$37)&gt;0</formula>
    </cfRule>
  </conditionalFormatting>
  <dataValidations count="2">
    <dataValidation type="list" allowBlank="1" showInputMessage="1" showErrorMessage="1" sqref="E5:F6" xr:uid="{00000000-0002-0000-2100-000002000000}">
      <formula1>"stříbrná,zlatá,oliva"</formula1>
      <formula2>0</formula2>
    </dataValidation>
    <dataValidation type="list" allowBlank="1" showInputMessage="1" showErrorMessage="1" sqref="D6" xr:uid="{00000000-0002-0000-2100-000005000000}">
      <formula1>$L$1:$L$2</formula1>
    </dataValidation>
  </dataValidations>
  <hyperlinks>
    <hyperlink ref="A2" location="profil!A1" display="Universal" xr:uid="{00000000-0004-0000-2100-000000000000}"/>
    <hyperlink ref="A51" location="příslušenství!A56" display="příslušenství!A56" xr:uid="{00000000-0004-0000-2100-000001000000}"/>
    <hyperlink ref="A52" location="'sys. 18mm'!A56" display="'sys. 18mm'!A56" xr:uid="{203E2563-9D1C-4FFD-AF0E-6A81C13DD98A}"/>
  </hyperlinks>
  <pageMargins left="0.70866141732283472" right="0.70866141732283472" top="0.25" bottom="0.34" header="0.17" footer="0.22"/>
  <pageSetup paperSize="9" scale="85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096485B-716B-43FC-A72B-75128FDDE8DF}">
            <xm:f>$I23=texty!$A$250</xm:f>
            <x14:dxf>
              <font>
                <color rgb="FFFF0000"/>
              </font>
            </x14:dxf>
          </x14:cfRule>
          <xm:sqref>I23:I49</xm:sqref>
        </x14:conditionalFormatting>
        <x14:conditionalFormatting xmlns:xm="http://schemas.microsoft.com/office/excel/2006/main">
          <x14:cfRule type="expression" priority="1" id="{2384680A-90B5-4600-87B6-75AE7F393405}">
            <xm:f>$I23=texty!$A$250</xm:f>
            <x14:dxf>
              <font>
                <color rgb="FFFF0000"/>
              </font>
            </x14:dxf>
          </x14:cfRule>
          <xm:sqref>A23:H49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85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.5" style="5" customWidth="1"/>
    <col min="2" max="2" width="16.33203125" style="5" customWidth="1"/>
    <col min="3" max="3" width="46.5" style="5" bestFit="1" customWidth="1"/>
    <col min="4" max="4" width="13.832031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-5.8</v>
      </c>
    </row>
    <row r="2" spans="1:21" ht="18.75" customHeight="1">
      <c r="A2" s="538" t="s">
        <v>1478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1" ht="29" thickBot="1">
      <c r="A3" s="539" t="str">
        <f>CONCATENATE(texty!A243," ",5,".",89)</f>
        <v>katalóg kovania 2018 str. 5.89</v>
      </c>
      <c r="B3" s="434" t="str">
        <f>CONCATENATE(texty!A34," / max.        2 742 mm /")</f>
        <v>výška / max.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8"/>
      <c r="G3" s="6"/>
      <c r="H3" s="6"/>
      <c r="L3" s="6"/>
      <c r="M3" s="17"/>
      <c r="N3" s="21"/>
      <c r="O3" s="17"/>
    </row>
    <row r="4" spans="1:21" ht="25.5" customHeight="1">
      <c r="A4" s="10" t="str">
        <f>+System10!A4</f>
        <v>VNÚTORNÝ ROZMER SKRINE:</v>
      </c>
      <c r="B4" s="56"/>
      <c r="C4" s="56"/>
      <c r="D4" s="22">
        <v>4</v>
      </c>
      <c r="E4" s="22" t="s">
        <v>416</v>
      </c>
      <c r="F4" s="8"/>
      <c r="G4" s="656"/>
      <c r="H4" s="656"/>
      <c r="I4" s="656"/>
      <c r="K4" s="195"/>
      <c r="L4" s="8"/>
      <c r="M4" s="17"/>
      <c r="N4" s="5">
        <f>IF(C4&lt;1701,1700,IF(C4&lt;2351,2350,IF(C4&lt;3001,3000,IF(C4&lt;4051,4050,"chybná hodnota"))))</f>
        <v>1700</v>
      </c>
    </row>
    <row r="5" spans="1:21" ht="18" customHeight="1">
      <c r="A5" s="490"/>
      <c r="B5" s="673" t="str">
        <f>texty!A46</f>
        <v>vypíšte tieto 4 políčka !!! Údaje v mm</v>
      </c>
      <c r="C5" s="673"/>
      <c r="D5" s="673"/>
      <c r="E5" s="673"/>
      <c r="F5" s="487"/>
      <c r="G5" s="656"/>
      <c r="H5" s="656"/>
      <c r="I5" s="656"/>
      <c r="K5" s="195"/>
      <c r="L5" s="3"/>
      <c r="M5" s="17"/>
      <c r="N5" s="5" t="str">
        <f>N8</f>
        <v xml:space="preserve">1700-strieborná </v>
      </c>
    </row>
    <row r="6" spans="1:21" ht="18" customHeight="1">
      <c r="A6" s="10"/>
      <c r="B6" s="11" t="str">
        <f>IF(D4=4,texty!A227,"")</f>
        <v> Zvolili ste 4 krídla, zvoľte počet preložení (2 alebo 3)</v>
      </c>
      <c r="D6" s="299">
        <v>3</v>
      </c>
      <c r="E6" s="8"/>
      <c r="F6" s="8"/>
      <c r="G6" s="656"/>
      <c r="H6" s="656"/>
      <c r="I6" s="656"/>
      <c r="K6" s="195"/>
      <c r="L6" s="6"/>
      <c r="M6" s="23"/>
      <c r="R6" s="645"/>
      <c r="S6" s="645"/>
      <c r="T6" s="645"/>
      <c r="U6" s="645"/>
    </row>
    <row r="7" spans="1:21" ht="12.75" customHeight="1">
      <c r="A7" s="10" t="str">
        <f>+System10!$A$7</f>
        <v>krídlo dverí:</v>
      </c>
      <c r="B7" s="57">
        <f>+B4-42</f>
        <v>-42</v>
      </c>
      <c r="C7" s="59">
        <f>+((C4-3+20*(D4-1))/D4+IF(AND(D4=4,D6=2),M1,0))</f>
        <v>14.25</v>
      </c>
      <c r="D7" s="8"/>
      <c r="E7" s="8"/>
      <c r="F7" s="8"/>
      <c r="G7" s="50"/>
      <c r="H7" s="6"/>
      <c r="L7" s="6"/>
      <c r="N7" s="17">
        <f>IF(C4&lt;1701,1700,IF(C4&lt;2351,2350,IF(C4&lt;3001,3000,IF(C4&lt;4051,4050,6000))))</f>
        <v>1700</v>
      </c>
      <c r="O7" s="21" t="str">
        <f>+E4</f>
        <v xml:space="preserve">strieborná </v>
      </c>
      <c r="P7" s="21" t="str">
        <f>+E4</f>
        <v xml:space="preserve">strieborná </v>
      </c>
      <c r="R7" s="645"/>
      <c r="S7" s="645"/>
      <c r="T7" s="645"/>
      <c r="U7" s="645"/>
    </row>
    <row r="8" spans="1:21" ht="12.75" customHeight="1">
      <c r="A8" s="10" t="str">
        <f>texty!$A$48</f>
        <v>rozmer výplne 18mm:</v>
      </c>
      <c r="B8" s="57">
        <f>+B7-2</f>
        <v>-44</v>
      </c>
      <c r="C8" s="59">
        <f>+C7-7</f>
        <v>7.25</v>
      </c>
      <c r="D8" s="8"/>
      <c r="E8" s="8"/>
      <c r="F8" s="8"/>
      <c r="G8" s="3" t="str">
        <f>texty!$A$43</f>
        <v>Maximálna hmotnosť krídla je 50 kg</v>
      </c>
      <c r="H8" s="6"/>
      <c r="L8" s="6"/>
      <c r="N8" s="23" t="str">
        <f>CONCATENATE(N7,"-",E4)</f>
        <v xml:space="preserve">1700-strieborná </v>
      </c>
      <c r="O8" s="21"/>
      <c r="P8" s="21"/>
      <c r="R8" s="164"/>
    </row>
    <row r="9" spans="1:21" ht="12.75" customHeight="1">
      <c r="A9" s="10" t="str">
        <f>+System10!A11</f>
        <v>Horný/spodný profil</v>
      </c>
      <c r="B9" s="57"/>
      <c r="C9" s="194">
        <f>+C4</f>
        <v>0</v>
      </c>
      <c r="D9" s="8"/>
      <c r="E9" s="8"/>
      <c r="F9" s="8"/>
      <c r="H9" s="40"/>
      <c r="L9" s="6"/>
      <c r="O9" s="23"/>
      <c r="P9" s="21"/>
      <c r="R9" s="164"/>
    </row>
    <row r="10" spans="1:21" ht="12.75" customHeight="1">
      <c r="A10" s="10" t="str">
        <f>+System10!A12</f>
        <v>úchytková lišta</v>
      </c>
      <c r="B10" s="502">
        <f>+B7</f>
        <v>-42</v>
      </c>
      <c r="C10" s="503"/>
      <c r="D10" s="8"/>
      <c r="E10" s="8"/>
      <c r="F10" s="8"/>
      <c r="G10" s="6"/>
      <c r="H10" s="6"/>
      <c r="L10" s="6"/>
      <c r="R10" s="164"/>
    </row>
    <row r="11" spans="1:21" ht="12.75" customHeight="1">
      <c r="A11" s="173" t="str">
        <f>texty!$A$64</f>
        <v>Pri tejto zostave nie je možné použiť kombináciu so sklom / zrkadlom</v>
      </c>
      <c r="B11" s="58"/>
      <c r="C11" s="12"/>
      <c r="D11" s="8"/>
      <c r="E11" s="8"/>
      <c r="F11" s="8"/>
      <c r="G11" s="6"/>
      <c r="H11" s="6"/>
      <c r="L11" s="35"/>
      <c r="R11" s="164"/>
    </row>
    <row r="12" spans="1:21" ht="28">
      <c r="A12" s="644" t="str">
        <f>IF(SUM(D39:D40)&gt;0,texty!A246,"")</f>
        <v/>
      </c>
      <c r="B12" s="644"/>
      <c r="C12" s="516" t="str">
        <f>texty!A78</f>
        <v>dodatočné odpočty výšky vypočítaných výplní pri použití deliacich profilov výplne:</v>
      </c>
      <c r="D12" s="8"/>
      <c r="E12" s="8"/>
      <c r="F12" s="8"/>
      <c r="G12" s="6"/>
      <c r="H12" s="6"/>
      <c r="L12" s="6"/>
      <c r="R12" s="164"/>
    </row>
    <row r="13" spans="1:21" ht="13">
      <c r="A13" s="644"/>
      <c r="B13" s="644"/>
      <c r="C13" s="516"/>
      <c r="D13" s="8"/>
      <c r="E13" s="8"/>
      <c r="F13" s="8"/>
      <c r="G13" s="6"/>
      <c r="H13" s="6"/>
      <c r="L13" s="6"/>
      <c r="R13" s="164"/>
    </row>
    <row r="14" spans="1:21" ht="13">
      <c r="A14" s="7"/>
      <c r="B14" s="8"/>
      <c r="C14" s="516"/>
      <c r="D14" s="8"/>
      <c r="E14" s="8"/>
      <c r="F14" s="8"/>
      <c r="G14" s="6"/>
      <c r="H14" s="6"/>
      <c r="L14" s="6"/>
      <c r="R14" s="164"/>
    </row>
    <row r="15" spans="1:21" ht="12.75" customHeight="1">
      <c r="A15" s="7"/>
      <c r="B15" s="8"/>
      <c r="C15" s="12"/>
      <c r="D15" s="8"/>
      <c r="E15" s="8"/>
      <c r="F15" s="8"/>
      <c r="G15" s="6"/>
      <c r="H15" s="6"/>
      <c r="L15" s="6"/>
    </row>
    <row r="16" spans="1:21" ht="12.75" customHeight="1">
      <c r="A16" s="7"/>
      <c r="B16" s="8"/>
      <c r="C16" s="12"/>
      <c r="D16" s="8"/>
      <c r="E16" s="8"/>
      <c r="F16" s="8"/>
      <c r="G16" s="6"/>
      <c r="H16" s="6"/>
      <c r="L16" s="6"/>
    </row>
    <row r="17" spans="1:22" ht="14.25" customHeight="1">
      <c r="A17" s="7"/>
      <c r="B17" s="8"/>
      <c r="C17" s="27"/>
      <c r="D17" s="8"/>
      <c r="E17" s="8"/>
      <c r="F17" s="8"/>
      <c r="G17" s="6"/>
      <c r="H17" s="6"/>
      <c r="L17" s="6"/>
    </row>
    <row r="18" spans="1:22" ht="16.5" customHeight="1">
      <c r="A18" s="10"/>
      <c r="B18" s="8"/>
      <c r="C18" s="8"/>
      <c r="E18" s="8"/>
      <c r="F18" s="8"/>
      <c r="G18" s="6"/>
      <c r="H18" s="6"/>
      <c r="L18" s="6"/>
      <c r="M18" s="6"/>
    </row>
    <row r="19" spans="1:22" ht="12.75" customHeight="1">
      <c r="A19" s="7"/>
      <c r="B19" s="8"/>
      <c r="C19" s="8"/>
      <c r="D19" s="8"/>
      <c r="E19" s="8"/>
      <c r="F19" s="8"/>
      <c r="G19" s="6"/>
      <c r="H19" s="6"/>
      <c r="L19" s="3"/>
      <c r="T19" s="168"/>
      <c r="U19" s="168"/>
      <c r="V19" s="168"/>
    </row>
    <row r="20" spans="1:22" ht="12.75" customHeight="1">
      <c r="B20" s="520"/>
      <c r="C20" s="8"/>
      <c r="D20" s="8"/>
      <c r="E20" s="8"/>
      <c r="F20" s="8"/>
      <c r="G20" s="6"/>
      <c r="H20" s="6"/>
      <c r="V20" s="168"/>
    </row>
    <row r="21" spans="1:22" ht="12.75" customHeight="1">
      <c r="A21" s="521" t="s">
        <v>2954</v>
      </c>
      <c r="B21" s="8"/>
      <c r="C21" s="8"/>
      <c r="D21" s="8"/>
      <c r="E21" s="8"/>
      <c r="F21" s="8"/>
      <c r="G21" s="6"/>
      <c r="H21" s="6"/>
      <c r="M21" s="6"/>
      <c r="Q21" s="167"/>
      <c r="T21" s="168"/>
      <c r="U21" s="168"/>
    </row>
    <row r="22" spans="1:22" ht="12.75" customHeight="1">
      <c r="A22" s="7"/>
      <c r="B22" s="8"/>
      <c r="D22" s="8"/>
      <c r="E22" s="8"/>
      <c r="F22" s="8"/>
      <c r="G22" s="131" t="str">
        <f>+System10!G25</f>
        <v>partnerská zľava:</v>
      </c>
      <c r="H22" s="6"/>
      <c r="M22" s="6"/>
      <c r="U22" s="168"/>
    </row>
    <row r="23" spans="1:22" ht="12.75" customHeight="1">
      <c r="A23" s="14" t="str">
        <f>+System10!A26</f>
        <v>Objednávacie kódy, ceny:</v>
      </c>
      <c r="B23" s="8"/>
      <c r="D23" s="8"/>
      <c r="E23" s="8"/>
      <c r="F23" s="8"/>
      <c r="G23" s="143">
        <f>profil!C15</f>
        <v>0</v>
      </c>
      <c r="H23" s="28"/>
      <c r="M23" s="6"/>
      <c r="O23" s="165"/>
      <c r="T23" s="168"/>
      <c r="V23" s="168"/>
    </row>
    <row r="24" spans="1:22" ht="12.75" customHeight="1">
      <c r="A24" s="7"/>
      <c r="B24" s="19" t="str">
        <f>+System10!B27</f>
        <v>kód</v>
      </c>
      <c r="C24" s="18" t="str">
        <f>+System10!C27</f>
        <v>názov</v>
      </c>
      <c r="D24" s="19" t="str">
        <f>+System10!D27</f>
        <v>ks</v>
      </c>
      <c r="E24" s="19" t="str">
        <f>+System10!E27</f>
        <v>cena/ks</v>
      </c>
      <c r="F24" s="19" t="str">
        <f>+System10!F27</f>
        <v>cena celkom</v>
      </c>
      <c r="G24" s="20" t="str">
        <f>+System10!G27</f>
        <v>celkom netto:</v>
      </c>
      <c r="H24" s="6"/>
      <c r="I24" s="18" t="str">
        <f>texty!A29</f>
        <v>Poznámka:</v>
      </c>
      <c r="J24" s="18"/>
      <c r="L24" s="6"/>
      <c r="N24" s="165"/>
      <c r="O24" s="165"/>
      <c r="U24" s="168"/>
      <c r="V24" s="168"/>
    </row>
    <row r="25" spans="1:22" ht="12.75" customHeight="1">
      <c r="A25" s="7" t="str">
        <f>+System10!A28</f>
        <v>Horný profil:</v>
      </c>
      <c r="B25" s="16">
        <f>+VLOOKUP(N5,data!$C$605:$D$614,2,0)</f>
        <v>98110</v>
      </c>
      <c r="C25" s="25" t="str">
        <f>+VLOOKUP(B25,cennik!$A:$G,2,FALSE)</f>
        <v>SEVROLL-HOR. VEDENIE COMFORT 1,70 M STR.</v>
      </c>
      <c r="D25" s="17">
        <v>1</v>
      </c>
      <c r="E25" s="92">
        <f>+VLOOKUP(B25,cennik!$A:$G,3,FALSE)</f>
        <v>32.275260000000003</v>
      </c>
      <c r="F25" s="92">
        <f t="shared" ref="F25:F30" si="0">+E25*D25</f>
        <v>32.275260000000003</v>
      </c>
      <c r="G25" s="93">
        <f t="shared" ref="G25:G30" si="1">+F25*(100-$G$23)/100</f>
        <v>32.275260000000003</v>
      </c>
      <c r="H25" s="6" t="str">
        <f>cennik!$B$2</f>
        <v>EUR</v>
      </c>
      <c r="I25" s="483" t="str">
        <f>IFERROR(IF((VLOOKUP(B25,cennik!A:L,12,0))="O",texty!$A$250,""),"")</f>
        <v>Na objednávku</v>
      </c>
      <c r="J25" s="196">
        <f>IF(D25&gt;0,IF(VLOOKUP(B25,cennik!A:L,12,FALSE)="O",1,""),"")</f>
        <v>1</v>
      </c>
      <c r="L25" s="6"/>
      <c r="M25" s="165"/>
      <c r="N25" s="165"/>
      <c r="O25" s="165"/>
      <c r="V25" s="168"/>
    </row>
    <row r="26" spans="1:22" ht="12.75" customHeight="1">
      <c r="A26" s="7" t="str">
        <f>+System10!A29</f>
        <v>spodný profil:</v>
      </c>
      <c r="B26" s="16">
        <f>+VLOOKUP(N5,data!$C$615:$D$624,2,0)</f>
        <v>163106</v>
      </c>
      <c r="C26" s="25" t="str">
        <f>+VLOOKUP(B26,cennik!$A:$G,2,FALSE)</f>
        <v>SEVROLL Doubler II spodné vedenie 1,7m strie</v>
      </c>
      <c r="D26" s="17">
        <v>1</v>
      </c>
      <c r="E26" s="92">
        <f>+VLOOKUP(B26,cennik!$A:$G,3,FALSE)</f>
        <v>15.83633</v>
      </c>
      <c r="F26" s="92">
        <f t="shared" si="0"/>
        <v>15.83633</v>
      </c>
      <c r="G26" s="93">
        <f t="shared" si="1"/>
        <v>15.83633</v>
      </c>
      <c r="H26" s="6" t="str">
        <f>cennik!$B$2</f>
        <v>EUR</v>
      </c>
      <c r="I26" s="483" t="str">
        <f>IFERROR(IF((VLOOKUP(B26,cennik!A:L,12,0))="O",texty!$A$250,""),"")</f>
        <v>Na objednávku</v>
      </c>
      <c r="J26" s="196">
        <f>IF(D26&gt;0,IF(VLOOKUP(B26,cennik!A:L,12,FALSE)="O",1,""),"")</f>
        <v>1</v>
      </c>
      <c r="L26" s="6"/>
      <c r="N26" s="165"/>
      <c r="O26" s="165"/>
      <c r="P26" s="165"/>
      <c r="T26" s="168"/>
    </row>
    <row r="27" spans="1:22" ht="12.75" customHeight="1">
      <c r="A27" s="7" t="str">
        <f>+System10!$A$30</f>
        <v>krycí profil (maska):</v>
      </c>
      <c r="B27" s="16">
        <f>+VLOOKUP(N5,data!$C$625:$D$634,2,0)</f>
        <v>163122</v>
      </c>
      <c r="C27" s="25" t="str">
        <f>+VLOOKUP(B27,cennik!$A:$G,2,FALSE)</f>
        <v>SEVROLL-MASKA DOUBLER II 1,7 M strieborn</v>
      </c>
      <c r="D27" s="17">
        <v>1</v>
      </c>
      <c r="E27" s="92">
        <f>+VLOOKUP(B27,cennik!$A:$G,3,FALSE)</f>
        <v>5.2064599999999999</v>
      </c>
      <c r="F27" s="92">
        <f>+E27*D27</f>
        <v>5.2064599999999999</v>
      </c>
      <c r="G27" s="93">
        <f t="shared" si="1"/>
        <v>5.2064599999999999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L27" s="6"/>
      <c r="N27" s="165"/>
      <c r="O27" s="165"/>
      <c r="P27" s="165"/>
      <c r="T27" s="168"/>
    </row>
    <row r="28" spans="1:22" ht="12.75" customHeight="1">
      <c r="A28" s="7" t="str">
        <f>+System10!A31</f>
        <v>horné vozíky (sady)</v>
      </c>
      <c r="B28" s="16">
        <v>98092</v>
      </c>
      <c r="C28" s="25" t="str">
        <f>+VLOOKUP(B28,cennik!$A:$G,2,FALSE)</f>
        <v>SEVROLL Comfort horný vozík 18mm - 2ks</v>
      </c>
      <c r="D28" s="17">
        <f>IF((D41+D42)&gt;D4,0,D4-(D42+D41))</f>
        <v>4</v>
      </c>
      <c r="E28" s="92">
        <f>+VLOOKUP(B28,cennik!$A:$G,3,FALSE)</f>
        <v>7.6409700000000003</v>
      </c>
      <c r="F28" s="92">
        <f t="shared" si="0"/>
        <v>30.563880000000001</v>
      </c>
      <c r="G28" s="93">
        <f t="shared" si="1"/>
        <v>30.563879999999997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  <c r="N28" s="165"/>
      <c r="O28" s="165"/>
      <c r="P28" s="165"/>
      <c r="T28" s="168"/>
      <c r="U28" s="168"/>
    </row>
    <row r="29" spans="1:22" ht="12.75" customHeight="1">
      <c r="A29" s="7" t="str">
        <f>+System10!A32</f>
        <v>spodné vozíky (sada)</v>
      </c>
      <c r="B29" s="16">
        <v>362316</v>
      </c>
      <c r="C29" s="25" t="str">
        <f>+VLOOKUP(B29,cennik!$A:$G,2,FALSE)</f>
        <v>SEV-2x spodný vozík DTD 18mm, bez pozicionéru, bez pružiny</v>
      </c>
      <c r="D29" s="17">
        <f>+D4</f>
        <v>4</v>
      </c>
      <c r="E29" s="92">
        <f>+VLOOKUP(B29,cennik!$A:$G,3,FALSE)</f>
        <v>4.5556599999999996</v>
      </c>
      <c r="F29" s="92">
        <f t="shared" si="0"/>
        <v>18.222639999999998</v>
      </c>
      <c r="G29" s="93">
        <f t="shared" si="1"/>
        <v>18.222639999999998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  <c r="M29" s="165"/>
      <c r="N29" s="165"/>
      <c r="O29" s="165"/>
      <c r="P29" s="165"/>
      <c r="U29" s="168"/>
    </row>
    <row r="30" spans="1:22" ht="12.75" customHeight="1">
      <c r="A30" s="7" t="str">
        <f>+System10!A33</f>
        <v>dorazový kartáč</v>
      </c>
      <c r="B30" s="16">
        <v>229433</v>
      </c>
      <c r="C30" s="25" t="str">
        <f>+VLOOKUP(B30,cennik!$A:$G,2,FALSE)</f>
        <v>SEVROLL dorazový kartáč zásuvný 4,8x4mm</v>
      </c>
      <c r="D30" s="17">
        <f>CEILING((B4*D4*2/1000),1)</f>
        <v>0</v>
      </c>
      <c r="E30" s="92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22" ht="12.75" customHeight="1">
      <c r="A31" s="7" t="str">
        <f>+System10!A34</f>
        <v>úchytková lišta</v>
      </c>
      <c r="B31" s="16">
        <f>+VLOOKUP(O7,data!$C$669:$D$670,2,0)</f>
        <v>135552</v>
      </c>
      <c r="C31" s="25" t="str">
        <f>+VLOOKUP(B31,cennik!$A:$G,2,FALSE)</f>
        <v>SEVROLL Minicomfort II úch.lišta 2,7m str.</v>
      </c>
      <c r="D31" s="17">
        <f>IF(B10&lt;=1347,D4*2/2,D4*2)</f>
        <v>4</v>
      </c>
      <c r="E31" s="92">
        <f>+VLOOKUP(B31,cennik!$A:$G,3,FALSE)</f>
        <v>17.836960000000001</v>
      </c>
      <c r="F31" s="488">
        <f t="shared" ref="F31" si="2">+E31*D31</f>
        <v>71.347840000000005</v>
      </c>
      <c r="G31" s="489">
        <f t="shared" ref="G31" si="3">+F31*(100-$G$23)/100</f>
        <v>71.347840000000005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22" ht="12.75" customHeight="1">
      <c r="E32" s="95"/>
      <c r="F32" s="95"/>
      <c r="G32" s="95"/>
      <c r="H32" s="6"/>
      <c r="I32" s="483" t="str">
        <f>IFERROR(IF((VLOOKUP(B32,cennik!A:L,12,0))="O",texty!$A$250,""),"")</f>
        <v/>
      </c>
      <c r="J32" s="196"/>
      <c r="L32" s="3"/>
    </row>
    <row r="33" spans="1:22" ht="12.75" customHeight="1">
      <c r="A33" s="14" t="str">
        <f>texty!$A$66</f>
        <v>Voliteľné príslušenstvo:</v>
      </c>
      <c r="B33" s="124"/>
      <c r="C33" s="125"/>
      <c r="D33" s="491" t="str">
        <f>+Faworyt!D34</f>
        <v>zadajte počet:</v>
      </c>
      <c r="E33" s="133"/>
      <c r="F33" s="126"/>
      <c r="G33" s="127"/>
      <c r="H33" s="128"/>
      <c r="I33" s="483" t="str">
        <f>IFERROR(IF((VLOOKUP(B33,cennik!A:L,12,0))="O",texty!$A$250,""),"")</f>
        <v/>
      </c>
      <c r="J33" s="196"/>
      <c r="L33" s="3"/>
    </row>
    <row r="34" spans="1:2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 t="shared" ref="G34:G56" si="4">+F34*(100-$F$23)/100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3"/>
    </row>
    <row r="35" spans="1:22" ht="12.75" customHeight="1">
      <c r="A35" s="7" t="str">
        <f>texty!$A$111</f>
        <v xml:space="preserve">pozicionér </v>
      </c>
      <c r="B35" s="16"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6" si="5">+E35*D35</f>
        <v>0</v>
      </c>
      <c r="G35" s="105">
        <f t="shared" si="4"/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  <c r="M35" s="165"/>
      <c r="N35" s="165"/>
      <c r="O35" s="165"/>
      <c r="P35" s="165"/>
      <c r="T35" s="168"/>
      <c r="V35" s="168"/>
    </row>
    <row r="36" spans="1:2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4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  <c r="M36" s="165"/>
      <c r="N36" s="165"/>
      <c r="O36" s="165"/>
      <c r="P36" s="165"/>
      <c r="T36" s="168"/>
      <c r="V36" s="168"/>
    </row>
    <row r="37" spans="1:2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4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  <c r="M37" s="165"/>
      <c r="N37" s="165"/>
      <c r="O37" s="165"/>
      <c r="P37" s="165"/>
      <c r="T37" s="168"/>
      <c r="V37" s="168"/>
    </row>
    <row r="38" spans="1:2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4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  <c r="M38" s="165"/>
      <c r="N38" s="165"/>
      <c r="O38" s="165"/>
      <c r="P38" s="165"/>
      <c r="T38" s="168"/>
      <c r="V38" s="168"/>
    </row>
    <row r="39" spans="1:2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4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  <c r="M39" s="165"/>
      <c r="N39" s="165"/>
      <c r="O39" s="165"/>
      <c r="P39" s="165"/>
      <c r="T39" s="168"/>
      <c r="V39" s="168"/>
    </row>
    <row r="40" spans="1:2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4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6"/>
      <c r="M40" s="165"/>
      <c r="N40" s="165"/>
      <c r="O40" s="165"/>
      <c r="P40" s="165"/>
      <c r="T40" s="168"/>
      <c r="V40" s="168"/>
    </row>
    <row r="41" spans="1:2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4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6"/>
      <c r="M41" s="165"/>
      <c r="N41" s="165"/>
      <c r="O41" s="165"/>
      <c r="P41" s="165"/>
      <c r="T41" s="168"/>
      <c r="V41" s="168"/>
    </row>
    <row r="42" spans="1:2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4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6"/>
      <c r="M42" s="165"/>
      <c r="N42" s="165"/>
      <c r="O42" s="165"/>
      <c r="P42" s="165"/>
      <c r="T42" s="168"/>
      <c r="V42" s="168"/>
    </row>
    <row r="43" spans="1:2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5"/>
        <v>0</v>
      </c>
      <c r="G43" s="105">
        <f t="shared" si="4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6"/>
      <c r="M43" s="165"/>
      <c r="N43" s="165"/>
      <c r="O43" s="165"/>
      <c r="P43" s="165"/>
      <c r="T43" s="168"/>
      <c r="V43" s="168"/>
    </row>
    <row r="44" spans="1:2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5"/>
        <v>0</v>
      </c>
      <c r="G44" s="105">
        <f t="shared" si="4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6"/>
      <c r="M44" s="165"/>
      <c r="N44" s="165"/>
      <c r="O44" s="165"/>
      <c r="P44" s="165"/>
      <c r="T44" s="168"/>
      <c r="V44" s="168"/>
    </row>
    <row r="45" spans="1:2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5"/>
        <v>0</v>
      </c>
      <c r="G45" s="105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6"/>
      <c r="M45" s="165"/>
      <c r="N45" s="165"/>
      <c r="O45" s="165"/>
      <c r="P45" s="165"/>
      <c r="T45" s="168"/>
      <c r="V45" s="168"/>
    </row>
    <row r="46" spans="1:2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5"/>
        <v>0</v>
      </c>
      <c r="G46" s="105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6"/>
      <c r="M46" s="165"/>
      <c r="N46" s="165"/>
      <c r="O46" s="165"/>
      <c r="P46" s="165"/>
      <c r="T46" s="168"/>
      <c r="V46" s="168"/>
    </row>
    <row r="47" spans="1:2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5"/>
        <v>0</v>
      </c>
      <c r="G47" s="105">
        <f t="shared" si="4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  <c r="M47" s="165"/>
      <c r="N47" s="165"/>
      <c r="O47" s="165"/>
      <c r="P47" s="165"/>
      <c r="T47" s="168"/>
      <c r="V47" s="168"/>
    </row>
    <row r="48" spans="1:2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5"/>
        <v>0</v>
      </c>
      <c r="G48" s="105">
        <f t="shared" si="4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  <c r="M48" s="165"/>
      <c r="N48" s="165"/>
      <c r="O48" s="165"/>
      <c r="P48" s="165"/>
      <c r="T48" s="168"/>
      <c r="V48" s="168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4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3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4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L50" s="6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4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4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5"/>
        <v>0</v>
      </c>
      <c r="G53" s="105">
        <f t="shared" si="4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5"/>
        <v>0</v>
      </c>
      <c r="G54" s="105">
        <f t="shared" si="4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L54" s="6"/>
    </row>
    <row r="55" spans="1:14" ht="12.75" customHeight="1">
      <c r="A55" s="436" t="str">
        <f>texty!$A$240</f>
        <v>zámok posuvných dverí</v>
      </c>
      <c r="B55" s="24">
        <v>216363</v>
      </c>
      <c r="C55" s="38" t="str">
        <f>+VLOOKUP(B55,cennik!$A:$G,2,FALSE)</f>
        <v>SEVROLL zámok na posuvné dvere 18 mm</v>
      </c>
      <c r="D55" s="29"/>
      <c r="E55" s="219">
        <f>+VLOOKUP(B55,cennik!$A:$G,3,FALSE)</f>
        <v>17.186150000000001</v>
      </c>
      <c r="F55" s="106">
        <f t="shared" si="5"/>
        <v>0</v>
      </c>
      <c r="G55" s="105">
        <f t="shared" si="4"/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L55" s="6"/>
    </row>
    <row r="56" spans="1:14" ht="12.75" customHeight="1">
      <c r="A56" s="7" t="str">
        <f>texty!$A$112</f>
        <v>protiprachový kartáč samolepiaci</v>
      </c>
      <c r="B56" s="24">
        <v>308639</v>
      </c>
      <c r="C56" s="25" t="str">
        <f>+VLOOKUP(B56,cennik!$A:$G,2,FALSE)</f>
        <v>SEVROLL protiprachový kartáč samolep. 6,7x13mm</v>
      </c>
      <c r="D56" s="29"/>
      <c r="E56" s="219">
        <f>+VLOOKUP(B56,cennik!$A:$G,3,FALSE)</f>
        <v>0.28210000000000002</v>
      </c>
      <c r="F56" s="106">
        <f t="shared" si="5"/>
        <v>0</v>
      </c>
      <c r="G56" s="105">
        <f t="shared" si="4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L56" s="6"/>
    </row>
    <row r="57" spans="1:14" ht="12.75" customHeight="1">
      <c r="B57" s="172"/>
      <c r="C57" s="172"/>
      <c r="D57" s="92"/>
      <c r="E57" s="92"/>
      <c r="F57" s="92"/>
      <c r="G57" s="97"/>
      <c r="H57" s="93"/>
      <c r="J57" s="186"/>
      <c r="K57" s="186"/>
      <c r="L57" s="6"/>
    </row>
    <row r="58" spans="1:14" ht="16">
      <c r="A58" s="285" t="str">
        <f>texty!$A$190</f>
        <v>Ďalšie príslušenstvo</v>
      </c>
      <c r="B58" s="286"/>
      <c r="C58" s="286"/>
      <c r="D58" s="286"/>
      <c r="E58" s="286"/>
      <c r="F58" s="286"/>
      <c r="G58" s="286"/>
      <c r="H58" s="286"/>
      <c r="I58" s="286"/>
      <c r="J58" s="286"/>
      <c r="K58" s="135"/>
    </row>
    <row r="59" spans="1:14" ht="12.75" customHeight="1">
      <c r="A59" s="285" t="str">
        <f>texty!$A$244</f>
        <v>Technický nákres tohoto systému</v>
      </c>
      <c r="B59" s="8"/>
      <c r="C59" s="8"/>
      <c r="D59" s="77" t="str">
        <f>texty!$A$15</f>
        <v>CELKOM  (bez DPH)</v>
      </c>
      <c r="E59" s="100"/>
      <c r="F59" s="102">
        <f>SUM(F25:F56)</f>
        <v>173.45241000000001</v>
      </c>
      <c r="G59" s="102">
        <f>SUM(G25:G56)</f>
        <v>173.45241000000001</v>
      </c>
      <c r="H59" s="6" t="str">
        <f>cennik!$B$2</f>
        <v>EUR</v>
      </c>
      <c r="J59" s="186"/>
      <c r="K59" s="186"/>
      <c r="L59" s="5" t="str">
        <f>texty!A128</f>
        <v xml:space="preserve">strieborná </v>
      </c>
      <c r="M59" s="21" t="s">
        <v>2887</v>
      </c>
    </row>
    <row r="60" spans="1:14" ht="12.75" customHeight="1">
      <c r="A60" s="76" t="str">
        <f>System10!$A$67</f>
        <v>Vaša poznámka:</v>
      </c>
      <c r="B60" s="661"/>
      <c r="C60" s="662"/>
      <c r="D60" s="662"/>
      <c r="E60" s="662"/>
      <c r="F60" s="662"/>
      <c r="G60" s="663"/>
      <c r="H60" s="6"/>
      <c r="L60" s="5" t="str">
        <f>texty!A130</f>
        <v>oliva</v>
      </c>
      <c r="M60" s="21" t="s">
        <v>45</v>
      </c>
    </row>
    <row r="61" spans="1:14" ht="12.75" customHeight="1">
      <c r="A61" s="657">
        <f>profil!$U$15</f>
        <v>0</v>
      </c>
      <c r="B61" s="658"/>
      <c r="C61" s="658"/>
      <c r="D61" s="658"/>
      <c r="E61" s="658"/>
      <c r="F61" s="658"/>
      <c r="G61" s="658"/>
      <c r="H61" s="658"/>
    </row>
    <row r="62" spans="1:14" ht="12.75" customHeight="1">
      <c r="A62" s="659" t="str">
        <f>IF(N62=1,texty!$A$215,IF(J62&gt;0,texty!$A$214,""))</f>
        <v>některé položky sú na objednávku, počítajte prosím s dodaciou  lehotou  do 5 týždnov</v>
      </c>
      <c r="B62" s="659"/>
      <c r="C62" s="659"/>
      <c r="D62" s="659"/>
      <c r="E62" s="659"/>
      <c r="F62" s="659"/>
      <c r="G62" s="659"/>
      <c r="H62" s="659"/>
      <c r="J62" s="6">
        <f>SUM(J25:J56)</f>
        <v>3</v>
      </c>
      <c r="N62" s="5">
        <f>IF(ISERROR(J62),1,0)</f>
        <v>0</v>
      </c>
    </row>
    <row r="63" spans="1:14" ht="12.75" customHeight="1"/>
    <row r="75" spans="1:1" ht="12.75" hidden="1" customHeight="1">
      <c r="A75" s="5">
        <v>3</v>
      </c>
    </row>
    <row r="76" spans="1:1" ht="12.75" customHeight="1"/>
    <row r="77" spans="1:1" ht="12.75" customHeight="1"/>
    <row r="78" spans="1:1" ht="12.75" customHeight="1"/>
    <row r="79" spans="1:1" ht="12.75" customHeight="1"/>
    <row r="80" spans="1:1" ht="12.75" customHeight="1"/>
    <row r="81" ht="12.75" customHeight="1"/>
    <row r="82" ht="12.75" customHeight="1"/>
    <row r="83" ht="12.75" customHeight="1"/>
    <row r="84" ht="12.75" customHeight="1"/>
    <row r="85" ht="12.75" customHeight="1"/>
  </sheetData>
  <sheetProtection algorithmName="SHA-512" hashValue="BtAyJN+VkYS0NwPVDJ+8Uo9pT7pKIvjzjmP4MaEXn3hx0e0JbPTrrNYO94SR4N/r/3Lna6WZ6QypHkqtVvOipA==" saltValue="VW371Y/zx4dHGRPdCMKPD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D6">
    <cfRule type="expression" dxfId="45" priority="5">
      <formula>$D$4=4</formula>
    </cfRule>
    <cfRule type="expression" dxfId="44" priority="6">
      <formula>$D$4&lt;&gt;4</formula>
    </cfRule>
  </conditionalFormatting>
  <conditionalFormatting sqref="G4">
    <cfRule type="expression" dxfId="43" priority="4">
      <formula>$D$4=4</formula>
    </cfRule>
  </conditionalFormatting>
  <conditionalFormatting sqref="A12">
    <cfRule type="expression" dxfId="42" priority="3">
      <formula>SUM($D$39:$D$40)&gt;0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E12DD29-4967-4D85-B492-883DED0DC968}">
            <xm:f>$I25=texty!$A$250</xm:f>
            <x14:dxf>
              <font>
                <color rgb="FFFF0000"/>
              </font>
            </x14:dxf>
          </x14:cfRule>
          <xm:sqref>I25:I56</xm:sqref>
        </x14:conditionalFormatting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A25:H56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7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5" style="5" customWidth="1"/>
    <col min="2" max="2" width="15.83203125" style="5" customWidth="1"/>
    <col min="3" max="3" width="46.5" style="5" bestFit="1" customWidth="1"/>
    <col min="4" max="4" width="13.832031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22" width="0" style="5" hidden="1" customWidth="1"/>
    <col min="23" max="16384" width="9.1640625" style="5" hidden="1"/>
  </cols>
  <sheetData>
    <row r="1" spans="1:21" ht="13.5" customHeight="1" thickBot="1">
      <c r="A1" s="499"/>
      <c r="B1" s="520"/>
      <c r="C1" s="8"/>
      <c r="D1" s="8"/>
      <c r="E1" s="8"/>
      <c r="F1" s="8"/>
      <c r="G1" s="6"/>
      <c r="H1" s="6"/>
      <c r="L1" s="6">
        <v>2</v>
      </c>
      <c r="M1" s="5">
        <v>-9.5</v>
      </c>
    </row>
    <row r="2" spans="1:21" ht="18.75" customHeight="1">
      <c r="A2" s="538" t="s">
        <v>1480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1" ht="29" thickBot="1">
      <c r="A3" s="539" t="str">
        <f>CONCATENATE(texty!A243," ",5,".",89)</f>
        <v>katalóg kovania 2018 str. 5.89</v>
      </c>
      <c r="B3" s="434" t="str">
        <f>CONCATENATE(texty!A34," / max.        2 742 mm /")</f>
        <v>výška / max.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9"/>
      <c r="G3" s="6"/>
      <c r="H3" s="6"/>
      <c r="L3" s="6"/>
    </row>
    <row r="4" spans="1:21" ht="25.5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9"/>
      <c r="G4" s="656"/>
      <c r="H4" s="656"/>
      <c r="I4" s="656"/>
      <c r="K4" s="195"/>
      <c r="L4" s="8"/>
      <c r="O4" s="5">
        <f>IF(C4&lt;1701,1700,IF(C4&lt;2351,2350,IF(C4&lt;3001,3000,IF(C4&lt;4051,4050,"chybná hodnota"))))</f>
        <v>1700</v>
      </c>
    </row>
    <row r="5" spans="1:21" ht="18" customHeight="1">
      <c r="A5" s="490"/>
      <c r="B5" s="673" t="str">
        <f>texty!A46</f>
        <v>vypíšte tieto 4 políčka !!! Údaje v mm</v>
      </c>
      <c r="C5" s="673"/>
      <c r="D5" s="673"/>
      <c r="E5" s="673"/>
      <c r="F5" s="487"/>
      <c r="G5" s="656"/>
      <c r="H5" s="656"/>
      <c r="I5" s="656"/>
      <c r="K5" s="195"/>
      <c r="L5" s="3"/>
      <c r="O5" s="5" t="str">
        <f>O8</f>
        <v xml:space="preserve">1700-strieborná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R6" s="645"/>
      <c r="S6" s="645"/>
      <c r="T6" s="645"/>
      <c r="U6" s="645"/>
    </row>
    <row r="7" spans="1:21" ht="12.75" customHeight="1">
      <c r="A7" s="10" t="str">
        <f>+Faworyt!A7</f>
        <v>krídlo dverí:</v>
      </c>
      <c r="B7" s="57">
        <f>+B4-42</f>
        <v>-42</v>
      </c>
      <c r="C7" s="59">
        <f>+((C4-3+35*(D4-1))/D4+IF(AND(D4=4,D6=2),M1,0))</f>
        <v>22.333333333333332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1" ht="12.75" customHeight="1">
      <c r="A8" s="10" t="str">
        <f>+Faworyt!A8</f>
        <v>rozmer výplne 18mm:</v>
      </c>
      <c r="B8" s="57">
        <f>+B7-2</f>
        <v>-44</v>
      </c>
      <c r="C8" s="59">
        <f>+C7-7</f>
        <v>15.333333333333332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21" ht="12.75" customHeight="1">
      <c r="A9" s="10" t="str">
        <f>+Faworyt!A9</f>
        <v>rozmer výplne 12mm:</v>
      </c>
      <c r="B9" s="57">
        <f>+B8</f>
        <v>-44</v>
      </c>
      <c r="C9" s="59">
        <f>+C7-7</f>
        <v>15.333333333333332</v>
      </c>
      <c r="D9" s="8"/>
      <c r="E9" s="8"/>
      <c r="F9" s="8"/>
      <c r="G9" s="51"/>
      <c r="H9" s="6"/>
      <c r="L9" s="37"/>
      <c r="M9" s="36"/>
    </row>
    <row r="10" spans="1:21" ht="12.75" customHeight="1">
      <c r="A10" s="10" t="str">
        <f>+Faworyt!A10</f>
        <v>rozmer zrkadla /na DTD 12mm/</v>
      </c>
      <c r="B10" s="57">
        <f>+B8-2</f>
        <v>-46</v>
      </c>
      <c r="C10" s="66">
        <f>+C9-4</f>
        <v>11.333333333333332</v>
      </c>
      <c r="D10" s="8"/>
      <c r="E10" s="8"/>
      <c r="F10" s="8"/>
      <c r="G10" s="49"/>
      <c r="H10" s="6"/>
      <c r="O10" s="17"/>
      <c r="P10" s="21"/>
    </row>
    <row r="11" spans="1:21" ht="12.75" customHeight="1">
      <c r="A11" s="10" t="str">
        <f>texty!$A$51</f>
        <v>Dĺžka úchytkového profilu (+2 mm)</v>
      </c>
      <c r="B11" s="501">
        <f>B8+2</f>
        <v>-42</v>
      </c>
      <c r="C11" s="137"/>
      <c r="D11" s="8"/>
      <c r="E11" s="8"/>
      <c r="F11" s="8"/>
      <c r="G11" s="3"/>
      <c r="H11" s="6"/>
      <c r="L11" s="36"/>
      <c r="O11" s="23"/>
      <c r="P11" s="21"/>
    </row>
    <row r="12" spans="1:21" ht="28">
      <c r="A12" s="500" t="str">
        <f>IF(B7&gt;2400,texty!A194,IF(C7&gt;700,texty!A194,""))</f>
        <v/>
      </c>
      <c r="C12" s="506" t="str">
        <f>texty!A78</f>
        <v>dodatočné odpočty výšky vypočítaných výplní pri použití deliacich profilov výplne:</v>
      </c>
      <c r="D12" s="8"/>
      <c r="E12" s="8"/>
      <c r="F12" s="8"/>
      <c r="G12" s="6"/>
      <c r="L12" s="6"/>
    </row>
    <row r="13" spans="1:21" ht="20" customHeight="1">
      <c r="A13" s="644" t="str">
        <f>IF(SUM(D39:D40)&gt;0,texty!A246,"")</f>
        <v/>
      </c>
      <c r="B13" s="644"/>
      <c r="C13" s="87"/>
      <c r="D13" s="8"/>
      <c r="E13" s="8"/>
      <c r="F13" s="8"/>
      <c r="G13" s="6"/>
      <c r="H13" s="6"/>
      <c r="L13" s="35"/>
    </row>
    <row r="14" spans="1:21" ht="20" customHeight="1">
      <c r="A14" s="644"/>
      <c r="B14" s="644"/>
      <c r="C14" s="87"/>
      <c r="D14" s="8"/>
      <c r="E14" s="8"/>
      <c r="F14" s="8"/>
      <c r="G14" s="6"/>
      <c r="H14" s="6"/>
      <c r="L14" s="35"/>
    </row>
    <row r="15" spans="1:21" ht="12.75" customHeight="1">
      <c r="A15" s="7"/>
      <c r="B15" s="58"/>
      <c r="C15" s="87"/>
      <c r="D15" s="8"/>
      <c r="E15" s="8"/>
      <c r="F15" s="8"/>
      <c r="G15" s="6"/>
      <c r="H15" s="6"/>
      <c r="L15" s="35"/>
    </row>
    <row r="16" spans="1:21" ht="12.75" customHeight="1">
      <c r="A16" s="193"/>
      <c r="B16" s="65"/>
      <c r="C16" s="169"/>
      <c r="D16" s="8"/>
      <c r="E16" s="8"/>
      <c r="F16" s="8"/>
      <c r="G16" s="6"/>
      <c r="H16" s="6"/>
      <c r="L16" s="6"/>
    </row>
    <row r="17" spans="1:22" ht="12.75" customHeight="1">
      <c r="A17" s="10"/>
      <c r="B17" s="8"/>
      <c r="C17" s="12"/>
      <c r="D17" s="8"/>
      <c r="E17" s="8"/>
      <c r="F17" s="8"/>
      <c r="G17" s="6"/>
      <c r="H17" s="6"/>
      <c r="L17" s="6"/>
    </row>
    <row r="18" spans="1:22" ht="12.75" customHeight="1">
      <c r="A18" s="10"/>
      <c r="B18" s="8"/>
      <c r="C18" s="12"/>
      <c r="D18" s="8"/>
      <c r="E18" s="8"/>
      <c r="F18" s="8"/>
      <c r="G18" s="6"/>
      <c r="H18" s="6"/>
      <c r="L18" s="6"/>
    </row>
    <row r="19" spans="1:22" ht="14.25" customHeight="1">
      <c r="A19" s="10"/>
      <c r="B19" s="8"/>
      <c r="C19" s="27"/>
      <c r="D19" s="8"/>
      <c r="E19" s="8"/>
      <c r="F19" s="8"/>
      <c r="G19" s="6"/>
      <c r="H19" s="6"/>
      <c r="L19" s="6"/>
    </row>
    <row r="20" spans="1:22" ht="16.5" customHeight="1">
      <c r="A20" s="10"/>
      <c r="B20" s="8"/>
      <c r="C20" s="8"/>
      <c r="E20" s="8"/>
      <c r="F20" s="8"/>
      <c r="G20" s="6"/>
      <c r="H20" s="6"/>
      <c r="L20" s="6"/>
    </row>
    <row r="21" spans="1:22" ht="12.75" customHeight="1">
      <c r="A21" s="499" t="s">
        <v>2954</v>
      </c>
      <c r="B21" s="520" t="s">
        <v>2961</v>
      </c>
      <c r="C21" s="8"/>
      <c r="D21" s="8"/>
      <c r="E21" s="8"/>
      <c r="F21" s="8"/>
      <c r="G21" s="6"/>
      <c r="H21" s="6"/>
      <c r="M21" s="6"/>
      <c r="Q21" s="167"/>
      <c r="T21" s="168"/>
      <c r="U21" s="168"/>
    </row>
    <row r="22" spans="1:22" ht="12.75" customHeight="1">
      <c r="A22" s="7"/>
      <c r="B22" s="8"/>
      <c r="D22" s="8"/>
      <c r="E22" s="8"/>
      <c r="F22" s="8"/>
      <c r="G22" s="131" t="str">
        <f>+System10!G25</f>
        <v>partnerská zľava:</v>
      </c>
      <c r="H22" s="6"/>
      <c r="M22" s="6"/>
      <c r="U22" s="168"/>
    </row>
    <row r="23" spans="1:22" ht="12.75" customHeight="1">
      <c r="A23" s="14" t="str">
        <f>+System10!A26</f>
        <v>Objednávacie kódy, ceny:</v>
      </c>
      <c r="B23" s="8"/>
      <c r="D23" s="8"/>
      <c r="E23" s="8"/>
      <c r="F23" s="8"/>
      <c r="G23" s="143">
        <f>profil!C15</f>
        <v>0</v>
      </c>
      <c r="H23" s="28"/>
      <c r="M23" s="6"/>
      <c r="O23" s="165"/>
      <c r="T23" s="168"/>
      <c r="V23" s="168"/>
    </row>
    <row r="24" spans="1:22" ht="12.75" customHeight="1">
      <c r="A24" s="7"/>
      <c r="B24" s="19" t="str">
        <f>+System10!B27</f>
        <v>kód</v>
      </c>
      <c r="C24" s="18" t="str">
        <f>+System10!C27</f>
        <v>názov</v>
      </c>
      <c r="D24" s="19" t="str">
        <f>+System10!D27</f>
        <v>ks</v>
      </c>
      <c r="E24" s="19" t="str">
        <f>+System10!E27</f>
        <v>cena/ks</v>
      </c>
      <c r="F24" s="19" t="str">
        <f>+System10!F27</f>
        <v>cena celkom</v>
      </c>
      <c r="G24" s="20" t="str">
        <f>+System10!G27</f>
        <v>celkom netto:</v>
      </c>
      <c r="H24" s="6"/>
      <c r="I24" s="18" t="str">
        <f>texty!A29</f>
        <v>Poznámka:</v>
      </c>
      <c r="J24" s="18"/>
      <c r="L24" s="6"/>
      <c r="N24" s="165"/>
      <c r="O24" s="165"/>
      <c r="U24" s="168"/>
      <c r="V24" s="168"/>
    </row>
    <row r="25" spans="1:22" ht="12.75" customHeight="1">
      <c r="A25" s="7" t="str">
        <f>+System10!A28</f>
        <v>Horný profil:</v>
      </c>
      <c r="B25" s="16">
        <f>+VLOOKUP(O5,data!$C$605:$D$614,2,0)</f>
        <v>98110</v>
      </c>
      <c r="C25" s="25" t="str">
        <f>+VLOOKUP(B25,cennik!$A:$G,2,FALSE)</f>
        <v>SEVROLL-HOR. VEDENIE COMFORT 1,70 M STR.</v>
      </c>
      <c r="D25" s="17">
        <v>1</v>
      </c>
      <c r="E25" s="92">
        <f>+VLOOKUP(B25,cennik!$A:$G,3,FALSE)</f>
        <v>32.275260000000003</v>
      </c>
      <c r="F25" s="92">
        <f t="shared" ref="F25:F31" si="0">+E25*D25</f>
        <v>32.275260000000003</v>
      </c>
      <c r="G25" s="93">
        <f t="shared" ref="G25:G31" si="1">+F25*(100-$G$23)/100</f>
        <v>32.275260000000003</v>
      </c>
      <c r="H25" s="6" t="str">
        <f>cennik!$B$2</f>
        <v>EUR</v>
      </c>
      <c r="I25" s="483" t="str">
        <f>IFERROR(IF((VLOOKUP(B25,cennik!A:L,12,0))="O",texty!$A$250,""),"")</f>
        <v>Na objednávku</v>
      </c>
      <c r="J25" s="196">
        <f>IF(D25&gt;0,IF(VLOOKUP(B25,cennik!A:L,12,FALSE)="O",1,""),"")</f>
        <v>1</v>
      </c>
      <c r="L25" s="6"/>
      <c r="M25" s="165"/>
      <c r="N25" s="165"/>
      <c r="O25" s="165"/>
      <c r="V25" s="168"/>
    </row>
    <row r="26" spans="1:22" ht="12.75" customHeight="1">
      <c r="A26" s="7" t="str">
        <f>+System10!A29</f>
        <v>spodný profil:</v>
      </c>
      <c r="B26" s="16">
        <f>+VLOOKUP(O5,data!$C$615:$D$624,2,0)</f>
        <v>163106</v>
      </c>
      <c r="C26" s="25" t="str">
        <f>+VLOOKUP(B26,cennik!$A:$G,2,FALSE)</f>
        <v>SEVROLL Doubler II spodné vedenie 1,7m strie</v>
      </c>
      <c r="D26" s="17">
        <v>1</v>
      </c>
      <c r="E26" s="92">
        <f>+VLOOKUP(B26,cennik!$A:$G,3,FALSE)</f>
        <v>15.83633</v>
      </c>
      <c r="F26" s="92">
        <f t="shared" si="0"/>
        <v>15.83633</v>
      </c>
      <c r="G26" s="93">
        <f t="shared" si="1"/>
        <v>15.83633</v>
      </c>
      <c r="H26" s="6" t="str">
        <f>cennik!$B$2</f>
        <v>EUR</v>
      </c>
      <c r="I26" s="483" t="str">
        <f>IFERROR(IF((VLOOKUP(B26,cennik!A:L,12,0))="O",texty!$A$250,""),"")</f>
        <v>Na objednávku</v>
      </c>
      <c r="J26" s="196">
        <f>IF(D26&gt;0,IF(VLOOKUP(B26,cennik!A:L,12,FALSE)="O",1,""),"")</f>
        <v>1</v>
      </c>
      <c r="L26" s="6"/>
      <c r="N26" s="165"/>
      <c r="O26" s="165"/>
      <c r="P26" s="165"/>
      <c r="T26" s="168"/>
    </row>
    <row r="27" spans="1:22" ht="12.75" customHeight="1">
      <c r="A27" s="7" t="str">
        <f>+System10!$A$30</f>
        <v>krycí profil (maska):</v>
      </c>
      <c r="B27" s="16">
        <f>+VLOOKUP(O5,data!$C$625:$D$634,2,0)</f>
        <v>163122</v>
      </c>
      <c r="C27" s="25" t="str">
        <f>+VLOOKUP(B27,cennik!$A:$G,2,FALSE)</f>
        <v>SEVROLL-MASKA DOUBLER II 1,7 M strieborn</v>
      </c>
      <c r="D27" s="17">
        <v>1</v>
      </c>
      <c r="E27" s="92">
        <f>+VLOOKUP(B27,cennik!$A:$G,3,FALSE)</f>
        <v>5.2064599999999999</v>
      </c>
      <c r="F27" s="92">
        <f t="shared" si="0"/>
        <v>5.2064599999999999</v>
      </c>
      <c r="G27" s="93">
        <f t="shared" si="1"/>
        <v>5.2064599999999999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L27" s="6"/>
      <c r="N27" s="165"/>
      <c r="O27" s="165"/>
      <c r="P27" s="165"/>
      <c r="T27" s="168"/>
    </row>
    <row r="28" spans="1:22" ht="12.75" customHeight="1">
      <c r="A28" s="7" t="str">
        <f>+System10!A31</f>
        <v>horné vozíky (sady)</v>
      </c>
      <c r="B28" s="16">
        <v>98092</v>
      </c>
      <c r="C28" s="25" t="str">
        <f>+VLOOKUP(B28,cennik!$A:$G,2,FALSE)</f>
        <v>SEVROLL Comfort horný vozík 18mm - 2ks</v>
      </c>
      <c r="D28" s="17">
        <f>IF((D42+D41)&gt;D4,0,D4-(D41+D42))</f>
        <v>3</v>
      </c>
      <c r="E28" s="92">
        <f>+VLOOKUP(B28,cennik!$A:$G,3,FALSE)</f>
        <v>7.6409700000000003</v>
      </c>
      <c r="F28" s="92">
        <f t="shared" si="0"/>
        <v>22.922910000000002</v>
      </c>
      <c r="G28" s="93">
        <f t="shared" si="1"/>
        <v>22.922910000000002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  <c r="N28" s="165"/>
      <c r="O28" s="165"/>
      <c r="P28" s="165"/>
      <c r="T28" s="168"/>
      <c r="U28" s="168"/>
    </row>
    <row r="29" spans="1:22" ht="12.75" customHeight="1">
      <c r="A29" s="7" t="str">
        <f>+System10!A32</f>
        <v>spodné vozíky (sada)</v>
      </c>
      <c r="B29" s="16"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92">
        <f>+VLOOKUP(B29,cennik!$A:$G,3,FALSE)</f>
        <v>4.5556599999999996</v>
      </c>
      <c r="F29" s="92">
        <f t="shared" si="0"/>
        <v>13.666979999999999</v>
      </c>
      <c r="G29" s="93">
        <f t="shared" si="1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  <c r="M29" s="165"/>
      <c r="N29" s="165"/>
      <c r="O29" s="165"/>
      <c r="P29" s="165"/>
      <c r="U29" s="168"/>
    </row>
    <row r="30" spans="1:22" ht="12.75" customHeight="1">
      <c r="A30" s="7" t="str">
        <f>+System10!A33</f>
        <v>dorazový kartáč</v>
      </c>
      <c r="B30" s="16">
        <v>229433</v>
      </c>
      <c r="C30" s="25" t="str">
        <f>+VLOOKUP(B30,cennik!$A:$G,2,FALSE)</f>
        <v>SEVROLL dorazový kartáč zásuvný 4,8x4mm</v>
      </c>
      <c r="D30" s="17">
        <f>CEILING((B4*D4*2/1000),1)</f>
        <v>0</v>
      </c>
      <c r="E30" s="92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22" ht="12.75" customHeight="1">
      <c r="A31" s="7" t="str">
        <f>+System10!A34</f>
        <v>úchytková lišta</v>
      </c>
      <c r="B31" s="16">
        <f>+VLOOKUP(P7,data!$C$671:$D$672,2,0)</f>
        <v>135555</v>
      </c>
      <c r="C31" s="25" t="str">
        <f>+VLOOKUP(B31,cennik!$A:$G,2,FALSE)</f>
        <v>SEVROLL Comfort 18 II úch.lišta 2,7m str,</v>
      </c>
      <c r="D31" s="17">
        <f>IF(B10&lt;=1347,D4*2/2,D4*2)</f>
        <v>3</v>
      </c>
      <c r="E31" s="92">
        <f>+VLOOKUP(B31,cennik!$A:$G,3,FALSE)</f>
        <v>25.646660000000001</v>
      </c>
      <c r="F31" s="92">
        <f t="shared" si="0"/>
        <v>76.939980000000006</v>
      </c>
      <c r="G31" s="93">
        <f t="shared" si="1"/>
        <v>76.939980000000006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22" ht="12.75" customHeight="1">
      <c r="E32" s="95"/>
      <c r="F32" s="95"/>
      <c r="G32" s="95"/>
      <c r="H32" s="6"/>
      <c r="I32" s="483" t="str">
        <f>IFERROR(IF((VLOOKUP(B32,cennik!A:L,12,0))="O",texty!$A$250,""),"")</f>
        <v/>
      </c>
      <c r="J32" s="196"/>
      <c r="L32" s="3"/>
    </row>
    <row r="33" spans="1:22" ht="12.75" customHeight="1">
      <c r="A33" s="14" t="str">
        <f>texty!$A$66</f>
        <v>Voliteľné príslušenstvo:</v>
      </c>
      <c r="B33" s="124"/>
      <c r="C33" s="125"/>
      <c r="D33" s="492" t="str">
        <f>+Faworyt!D34</f>
        <v>zadajte počet:</v>
      </c>
      <c r="E33" s="126"/>
      <c r="F33" s="126"/>
      <c r="G33" s="127"/>
      <c r="H33" s="128"/>
      <c r="I33" s="483" t="str">
        <f>IFERROR(IF((VLOOKUP(B33,cennik!A:L,12,0))="O",texty!$A$250,""),"")</f>
        <v/>
      </c>
      <c r="J33" s="196"/>
      <c r="L33" s="3"/>
    </row>
    <row r="34" spans="1:2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 t="shared" ref="G34:G57" si="2">+F34*(100-$F$23)/100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3"/>
    </row>
    <row r="35" spans="1:22" ht="12.75" customHeight="1">
      <c r="A35" s="7" t="str">
        <f>texty!$A$111</f>
        <v xml:space="preserve">pozicionér </v>
      </c>
      <c r="B35" s="16"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3">+E35*D35</f>
        <v>0</v>
      </c>
      <c r="G35" s="105">
        <f t="shared" si="2"/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  <c r="M35" s="165"/>
      <c r="N35" s="165"/>
      <c r="O35" s="165"/>
      <c r="P35" s="165"/>
      <c r="T35" s="168"/>
      <c r="V35" s="168"/>
    </row>
    <row r="36" spans="1:2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  <c r="M36" s="165"/>
      <c r="N36" s="165"/>
      <c r="O36" s="165"/>
      <c r="P36" s="165"/>
      <c r="T36" s="168"/>
      <c r="V36" s="168"/>
    </row>
    <row r="37" spans="1:2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  <c r="M37" s="165"/>
      <c r="N37" s="165"/>
      <c r="O37" s="165"/>
      <c r="P37" s="165"/>
      <c r="T37" s="168"/>
      <c r="V37" s="168"/>
    </row>
    <row r="38" spans="1:2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  <c r="M38" s="165"/>
      <c r="N38" s="165"/>
      <c r="O38" s="165"/>
      <c r="P38" s="165"/>
      <c r="T38" s="168"/>
      <c r="V38" s="168"/>
    </row>
    <row r="39" spans="1:2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  <c r="M39" s="165"/>
      <c r="N39" s="165"/>
      <c r="O39" s="165"/>
      <c r="P39" s="165"/>
      <c r="T39" s="168"/>
      <c r="V39" s="168"/>
    </row>
    <row r="40" spans="1:2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2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6"/>
      <c r="M40" s="165"/>
      <c r="N40" s="165"/>
      <c r="O40" s="165"/>
      <c r="P40" s="165"/>
      <c r="T40" s="168"/>
      <c r="V40" s="168"/>
    </row>
    <row r="41" spans="1:2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6"/>
      <c r="M41" s="165"/>
      <c r="N41" s="165"/>
      <c r="O41" s="165"/>
      <c r="P41" s="165"/>
      <c r="T41" s="168"/>
      <c r="V41" s="168"/>
    </row>
    <row r="42" spans="1:2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6"/>
      <c r="M42" s="165"/>
      <c r="N42" s="165"/>
      <c r="O42" s="165"/>
      <c r="P42" s="165"/>
      <c r="T42" s="168"/>
      <c r="V42" s="168"/>
    </row>
    <row r="43" spans="1:2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3"/>
        <v>0</v>
      </c>
      <c r="G43" s="105">
        <f t="shared" si="2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6"/>
      <c r="M43" s="165"/>
      <c r="N43" s="165"/>
      <c r="O43" s="165"/>
      <c r="P43" s="165"/>
      <c r="T43" s="168"/>
      <c r="V43" s="168"/>
    </row>
    <row r="44" spans="1:2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3"/>
        <v>0</v>
      </c>
      <c r="G44" s="105">
        <f t="shared" si="2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6"/>
      <c r="M44" s="165"/>
      <c r="N44" s="165"/>
      <c r="O44" s="165"/>
      <c r="P44" s="165"/>
      <c r="T44" s="168"/>
      <c r="V44" s="168"/>
    </row>
    <row r="45" spans="1:2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3"/>
        <v>0</v>
      </c>
      <c r="G45" s="105">
        <f t="shared" si="2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6"/>
      <c r="M45" s="165"/>
      <c r="N45" s="165"/>
      <c r="O45" s="165"/>
      <c r="P45" s="165"/>
      <c r="T45" s="168"/>
      <c r="V45" s="168"/>
    </row>
    <row r="46" spans="1:2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3"/>
        <v>0</v>
      </c>
      <c r="G46" s="105">
        <f t="shared" si="2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6"/>
      <c r="M46" s="165"/>
      <c r="N46" s="165"/>
      <c r="O46" s="165"/>
      <c r="P46" s="165"/>
      <c r="T46" s="168"/>
      <c r="V46" s="168"/>
    </row>
    <row r="47" spans="1:2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3"/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  <c r="M47" s="165"/>
      <c r="N47" s="165"/>
      <c r="O47" s="165"/>
      <c r="P47" s="165"/>
      <c r="T47" s="168"/>
      <c r="V47" s="168"/>
    </row>
    <row r="48" spans="1:2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3"/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  <c r="M48" s="165"/>
      <c r="N48" s="165"/>
      <c r="O48" s="165"/>
      <c r="P48" s="165"/>
      <c r="T48" s="168"/>
      <c r="V48" s="168"/>
    </row>
    <row r="49" spans="1:14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3"/>
    </row>
    <row r="50" spans="1:14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2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L50" s="6"/>
    </row>
    <row r="51" spans="1:14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</row>
    <row r="52" spans="1:14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</row>
    <row r="53" spans="1:14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3"/>
        <v>0</v>
      </c>
      <c r="G53" s="105">
        <f t="shared" si="2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L53" s="6"/>
    </row>
    <row r="54" spans="1:14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3"/>
        <v>0</v>
      </c>
      <c r="G54" s="105">
        <f t="shared" si="2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L54" s="6"/>
    </row>
    <row r="55" spans="1:14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3"/>
        <v>0</v>
      </c>
      <c r="G55" s="105">
        <f t="shared" ref="G55" si="4">+F55*(100-$G$23)/100</f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5"/>
      <c r="L55" s="6"/>
    </row>
    <row r="56" spans="1:14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3"/>
        <v>0</v>
      </c>
      <c r="G56" s="105">
        <f t="shared" si="2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L56" s="6"/>
    </row>
    <row r="57" spans="1:14" ht="12.75" customHeight="1">
      <c r="A57" s="7" t="str">
        <f>texty!$A$112</f>
        <v>protiprachový kartáč samolepiaci</v>
      </c>
      <c r="B57" s="24">
        <v>308639</v>
      </c>
      <c r="C57" s="25" t="str">
        <f>+VLOOKUP(B57,cennik!$A:$G,2,FALSE)</f>
        <v>SEVROLL protiprachový kartáč samolep. 6,7x13mm</v>
      </c>
      <c r="D57" s="29"/>
      <c r="E57" s="219">
        <f>+VLOOKUP(B57,cennik!$A:$G,3,FALSE)</f>
        <v>0.28210000000000002</v>
      </c>
      <c r="F57" s="106">
        <f t="shared" si="3"/>
        <v>0</v>
      </c>
      <c r="G57" s="105">
        <f t="shared" si="2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L57" s="6"/>
    </row>
    <row r="58" spans="1:14" ht="12.75" customHeight="1">
      <c r="A58" s="7"/>
      <c r="B58" s="24"/>
      <c r="C58" s="25"/>
      <c r="D58" s="219"/>
      <c r="E58" s="219"/>
      <c r="F58" s="106"/>
      <c r="G58" s="105"/>
      <c r="H58" s="6"/>
      <c r="I58" s="186"/>
      <c r="J58" s="196"/>
      <c r="L58" s="6"/>
    </row>
    <row r="59" spans="1:14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J59" s="135"/>
    </row>
    <row r="60" spans="1:14" ht="12.75" customHeight="1">
      <c r="A60" s="285" t="str">
        <f>texty!$A$244</f>
        <v>Technický nákres tohoto systému</v>
      </c>
      <c r="B60" s="8"/>
      <c r="C60" s="8"/>
      <c r="D60" s="77" t="str">
        <f>texty!$A$15</f>
        <v>CELKOM  (bez DPH)</v>
      </c>
      <c r="E60" s="100"/>
      <c r="F60" s="102">
        <f>SUM(F25:F56)</f>
        <v>166.84791999999999</v>
      </c>
      <c r="G60" s="102">
        <f>SUM(G25:G56)</f>
        <v>166.84791999999999</v>
      </c>
      <c r="H60" s="6" t="str">
        <f>cennik!$B$2</f>
        <v>EUR</v>
      </c>
      <c r="I60" s="186"/>
      <c r="J60" s="186"/>
      <c r="L60" s="5" t="str">
        <f>texty!A128</f>
        <v xml:space="preserve">strieborná </v>
      </c>
    </row>
    <row r="61" spans="1:14" ht="12.75" customHeight="1">
      <c r="A61" s="76" t="str">
        <f>System10!$A$67</f>
        <v>Vaša poznámka:</v>
      </c>
      <c r="B61" s="661"/>
      <c r="C61" s="662"/>
      <c r="D61" s="662"/>
      <c r="E61" s="662"/>
      <c r="F61" s="662"/>
      <c r="G61" s="663"/>
      <c r="H61" s="6"/>
      <c r="L61" s="5" t="str">
        <f>texty!A130</f>
        <v>oliva</v>
      </c>
    </row>
    <row r="62" spans="1:14" ht="12.75" customHeight="1">
      <c r="A62" s="657">
        <f>profil!$U$15</f>
        <v>0</v>
      </c>
      <c r="B62" s="658"/>
      <c r="C62" s="658"/>
      <c r="D62" s="658"/>
      <c r="E62" s="658"/>
      <c r="F62" s="658"/>
      <c r="G62" s="658"/>
      <c r="H62" s="658"/>
    </row>
    <row r="63" spans="1:14" ht="12.75" customHeight="1">
      <c r="A63" s="659" t="str">
        <f>IF(N63=1,texty!$A$215,IF(J63&gt;0,texty!$A$214,""))</f>
        <v>některé položky sú na objednávku, počítajte prosím s dodaciou  lehotou  do 5 týždnov</v>
      </c>
      <c r="B63" s="659"/>
      <c r="C63" s="659"/>
      <c r="D63" s="659"/>
      <c r="E63" s="659"/>
      <c r="F63" s="659"/>
      <c r="G63" s="659"/>
      <c r="H63" s="659"/>
      <c r="J63" s="6">
        <f>SUM(J25:J56)</f>
        <v>3</v>
      </c>
      <c r="N63" s="5">
        <f>IF(ISERROR(J63),1,0)</f>
        <v>0</v>
      </c>
    </row>
    <row r="64" spans="1:14" ht="12.75" customHeight="1"/>
    <row r="76" spans="1:1" ht="12.75" hidden="1" customHeight="1">
      <c r="A76" s="5">
        <v>3</v>
      </c>
    </row>
    <row r="77" spans="1:1" ht="12.75" customHeight="1"/>
  </sheetData>
  <sheetProtection algorithmName="SHA-512" hashValue="Rq83Fqn7pDhnKLle533hvBgbvN5+8iTcjy+dasdCwbrwo8pQcd9k4EzG4olr0Kb11+NcEnSvhtchHeN8MMmrKg==" saltValue="ymTJ52SvcwRy4V8jcb0l/Q==" spinCount="100000" sheet="1" objects="1" scenarios="1"/>
  <mergeCells count="10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</mergeCells>
  <conditionalFormatting sqref="D6">
    <cfRule type="expression" dxfId="39" priority="5">
      <formula>$D$4=4</formula>
    </cfRule>
    <cfRule type="expression" dxfId="38" priority="6">
      <formula>$D$4&lt;&gt;4</formula>
    </cfRule>
  </conditionalFormatting>
  <conditionalFormatting sqref="G4">
    <cfRule type="expression" dxfId="37" priority="4">
      <formula>$D$4=4</formula>
    </cfRule>
  </conditionalFormatting>
  <conditionalFormatting sqref="A13">
    <cfRule type="expression" dxfId="36" priority="3">
      <formula>SUM($D$39:$D$40)&gt;0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6:F6 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C8AE5C-09FD-4BBC-860B-FEA28B66F931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7"/>
  <sheetViews>
    <sheetView showGridLines="0" zoomScale="85" zoomScaleNormal="85" zoomScaleSheetLayoutView="100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46.5" style="5" bestFit="1" customWidth="1"/>
    <col min="4" max="4" width="13.83203125" style="5" customWidth="1"/>
    <col min="5" max="7" width="14.6640625" style="5" customWidth="1"/>
    <col min="8" max="8" width="4.6640625" style="5" customWidth="1"/>
    <col min="9" max="9" width="24.6640625" style="6" customWidth="1"/>
    <col min="10" max="11" width="11.33203125" style="6" hidden="1" customWidth="1"/>
    <col min="12" max="12" width="9.1640625" style="5" hidden="1" customWidth="1"/>
    <col min="13" max="13" width="8.1640625" style="5" hidden="1" customWidth="1"/>
    <col min="14" max="14" width="11.5" style="5" hidden="1" customWidth="1"/>
    <col min="15" max="15" width="7.1640625" style="5" hidden="1" customWidth="1"/>
    <col min="16" max="16" width="8.6640625" style="5" hidden="1" customWidth="1"/>
    <col min="17" max="17" width="7.1640625" style="5" hidden="1" customWidth="1"/>
    <col min="18" max="22" width="0" style="5" hidden="1" customWidth="1"/>
    <col min="23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8"/>
      <c r="G1" s="6"/>
      <c r="H1" s="6"/>
      <c r="L1" s="6">
        <v>2</v>
      </c>
      <c r="M1" s="5">
        <v>-9.5</v>
      </c>
    </row>
    <row r="2" spans="1:21" ht="18.75" customHeight="1">
      <c r="A2" s="538" t="s">
        <v>1479</v>
      </c>
      <c r="B2" s="54" t="str">
        <f>profil!T7</f>
        <v>Zákazník:, , IČO:</v>
      </c>
      <c r="C2" s="8"/>
      <c r="D2" s="8"/>
      <c r="E2" s="8"/>
      <c r="F2" s="8"/>
      <c r="G2" s="6"/>
      <c r="H2" s="6"/>
      <c r="L2" s="6">
        <v>3</v>
      </c>
    </row>
    <row r="3" spans="1:21" ht="29" thickBot="1">
      <c r="A3" s="539" t="str">
        <f>CONCATENATE(texty!A243," ",5,".",89)</f>
        <v>katalóg kovania 2018 str. 5.89</v>
      </c>
      <c r="B3" s="434" t="str">
        <f>CONCATENATE(texty!A34," / max.        2 742 mm /")</f>
        <v>výška / max.        2 742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9"/>
      <c r="G3" s="6"/>
      <c r="H3" s="6"/>
      <c r="L3" s="6"/>
    </row>
    <row r="4" spans="1:21" ht="25.5" customHeight="1">
      <c r="A4" s="10" t="str">
        <f>+System10!A4</f>
        <v>VNÚTORNÝ ROZMER SKRINE:</v>
      </c>
      <c r="B4" s="56"/>
      <c r="C4" s="56"/>
      <c r="D4" s="22">
        <v>3</v>
      </c>
      <c r="E4" s="22" t="s">
        <v>416</v>
      </c>
      <c r="F4" s="9"/>
      <c r="G4" s="656"/>
      <c r="H4" s="656"/>
      <c r="I4" s="656"/>
      <c r="K4" s="195"/>
      <c r="L4" s="8"/>
      <c r="O4" s="5">
        <f>IF(C4&lt;1701,1700,IF(C4&lt;2351,2350,IF(C4&lt;3001,3000,IF(C4&lt;4051,4050,"chybná hodnota"))))</f>
        <v>1700</v>
      </c>
    </row>
    <row r="5" spans="1:21" ht="18" customHeight="1">
      <c r="A5" s="490"/>
      <c r="B5" s="673" t="str">
        <f>texty!A46</f>
        <v>vypíšte tieto 4 políčka !!! Údaje v mm</v>
      </c>
      <c r="C5" s="673"/>
      <c r="D5" s="673"/>
      <c r="E5" s="673"/>
      <c r="F5" s="487"/>
      <c r="G5" s="656"/>
      <c r="H5" s="656"/>
      <c r="I5" s="656"/>
      <c r="K5" s="195"/>
      <c r="L5" s="3"/>
      <c r="O5" s="5" t="str">
        <f>O8</f>
        <v xml:space="preserve">1700-strieborná </v>
      </c>
    </row>
    <row r="6" spans="1:21" ht="18" customHeight="1">
      <c r="A6" s="10"/>
      <c r="B6" s="11" t="str">
        <f>IF(D4=4,texty!A227,"")</f>
        <v/>
      </c>
      <c r="D6" s="299">
        <v>3</v>
      </c>
      <c r="E6" s="8"/>
      <c r="F6" s="8"/>
      <c r="G6" s="656"/>
      <c r="H6" s="656"/>
      <c r="I6" s="656"/>
      <c r="K6" s="195"/>
      <c r="L6" s="6"/>
      <c r="R6" s="645"/>
      <c r="S6" s="645"/>
      <c r="T6" s="645"/>
      <c r="U6" s="645"/>
    </row>
    <row r="7" spans="1:21" ht="12.75" customHeight="1">
      <c r="A7" s="10" t="str">
        <f>+Faworyt!A7</f>
        <v>krídlo dverí:</v>
      </c>
      <c r="B7" s="57">
        <f>+B4-42</f>
        <v>-42</v>
      </c>
      <c r="C7" s="59">
        <f>+((C4-3+35*(D4-1))/D4+IF(AND(D4=4,D6=2),M1,0))</f>
        <v>22.333333333333332</v>
      </c>
      <c r="D7" s="8"/>
      <c r="E7" s="8"/>
      <c r="F7" s="8"/>
      <c r="G7" s="50"/>
      <c r="H7" s="6"/>
      <c r="L7" s="6"/>
      <c r="O7" s="17">
        <f>IF(C4&lt;1701,1700,IF(C4&lt;2351,2350,IF(C4&lt;3001,3000,IF(C4&lt;4051,4050,6000))))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1" ht="12.75" customHeight="1">
      <c r="A8" s="10" t="str">
        <f>+Faworyt!A8</f>
        <v>rozmer výplne 18mm:</v>
      </c>
      <c r="B8" s="57">
        <f>+B7-2</f>
        <v>-44</v>
      </c>
      <c r="C8" s="59">
        <f>+C7-40</f>
        <v>-17.666666666666668</v>
      </c>
      <c r="D8" s="8"/>
      <c r="E8" s="8"/>
      <c r="F8" s="8"/>
      <c r="G8" s="3" t="str">
        <f>Faworyt!G8</f>
        <v>Maximálna hmotnosť krídla je 50 kg</v>
      </c>
      <c r="H8" s="6"/>
      <c r="L8" s="6"/>
      <c r="O8" s="23" t="str">
        <f>CONCATENATE(O7,"-",E4)</f>
        <v xml:space="preserve">1700-strieborná </v>
      </c>
      <c r="P8" s="21"/>
    </row>
    <row r="9" spans="1:21" ht="12.75" customHeight="1">
      <c r="A9" s="10" t="str">
        <f>+Faworyt!A9</f>
        <v>rozmer výplne 12mm:</v>
      </c>
      <c r="B9" s="57">
        <f>+B8</f>
        <v>-44</v>
      </c>
      <c r="C9" s="59">
        <f>+C7-7</f>
        <v>15.333333333333332</v>
      </c>
      <c r="D9" s="8"/>
      <c r="E9" s="8"/>
      <c r="F9" s="8"/>
      <c r="G9" s="51"/>
      <c r="H9" s="6"/>
      <c r="L9" s="37"/>
      <c r="M9" s="36"/>
    </row>
    <row r="10" spans="1:21" ht="12.75" customHeight="1">
      <c r="A10" s="10" t="str">
        <f>+Faworyt!A10</f>
        <v>rozmer zrkadla /na DTD 12mm/</v>
      </c>
      <c r="B10" s="57">
        <f>+B8-2</f>
        <v>-46</v>
      </c>
      <c r="C10" s="66">
        <f>+C9-36</f>
        <v>-20.666666666666668</v>
      </c>
      <c r="D10" s="8"/>
      <c r="E10" s="8"/>
      <c r="F10" s="8"/>
      <c r="G10" s="49"/>
      <c r="H10" s="6"/>
      <c r="O10" s="17"/>
      <c r="P10" s="21"/>
    </row>
    <row r="11" spans="1:21" ht="12.75" customHeight="1">
      <c r="A11" s="518" t="str">
        <f>texty!$A$51</f>
        <v>Dĺžka úchytkového profilu (+2 mm)</v>
      </c>
      <c r="B11" s="517">
        <f>B8+2</f>
        <v>-42</v>
      </c>
      <c r="C11" s="137"/>
      <c r="D11" s="8"/>
      <c r="E11" s="8"/>
      <c r="F11" s="8"/>
      <c r="G11" s="3"/>
      <c r="H11" s="6"/>
      <c r="L11" s="36"/>
      <c r="O11" s="23"/>
      <c r="P11" s="21"/>
    </row>
    <row r="12" spans="1:21" ht="28">
      <c r="A12" s="500" t="str">
        <f>IF(B7&gt;2400,texty!A194,IF(C7&gt;700,texty!A194,""))</f>
        <v/>
      </c>
      <c r="C12" s="506" t="str">
        <f>texty!A78</f>
        <v>dodatočné odpočty výšky vypočítaných výplní pri použití deliacich profilov výplne:</v>
      </c>
      <c r="D12" s="8"/>
      <c r="E12" s="8"/>
      <c r="F12" s="8"/>
      <c r="G12" s="6"/>
      <c r="L12" s="6"/>
    </row>
    <row r="13" spans="1:21" ht="20" customHeight="1">
      <c r="A13" s="644" t="str">
        <f>IF(SUM(D39:D40)&gt;0,texty!A246,"")</f>
        <v/>
      </c>
      <c r="B13" s="644"/>
      <c r="C13" s="506"/>
      <c r="D13" s="8"/>
      <c r="E13" s="8"/>
      <c r="F13" s="8"/>
      <c r="G13" s="6"/>
      <c r="L13" s="6"/>
    </row>
    <row r="14" spans="1:21" ht="20" customHeight="1">
      <c r="A14" s="644"/>
      <c r="B14" s="644"/>
      <c r="C14" s="506"/>
      <c r="D14" s="8"/>
      <c r="E14" s="8"/>
      <c r="F14" s="8"/>
      <c r="G14" s="6"/>
      <c r="L14" s="6"/>
    </row>
    <row r="15" spans="1:21" ht="12.75" customHeight="1">
      <c r="A15" s="7"/>
      <c r="B15" s="58"/>
      <c r="C15" s="87"/>
      <c r="D15" s="8"/>
      <c r="E15" s="8"/>
      <c r="F15" s="8"/>
      <c r="G15" s="6"/>
      <c r="H15" s="6"/>
      <c r="L15" s="35"/>
    </row>
    <row r="16" spans="1:21" ht="12.75" customHeight="1">
      <c r="A16" s="193"/>
      <c r="B16" s="65"/>
      <c r="C16" s="169"/>
      <c r="D16" s="8"/>
      <c r="E16" s="8"/>
      <c r="F16" s="8"/>
      <c r="G16" s="6"/>
      <c r="H16" s="6"/>
      <c r="L16" s="6"/>
    </row>
    <row r="17" spans="1:22" ht="12.75" customHeight="1">
      <c r="A17" s="10"/>
      <c r="B17" s="8"/>
      <c r="C17" s="12"/>
      <c r="D17" s="8"/>
      <c r="E17" s="8"/>
      <c r="F17" s="8"/>
      <c r="G17" s="6"/>
      <c r="H17" s="6"/>
      <c r="L17" s="6"/>
    </row>
    <row r="18" spans="1:22" ht="12.75" customHeight="1">
      <c r="A18" s="10"/>
      <c r="B18" s="8"/>
      <c r="C18" s="12"/>
      <c r="D18" s="8"/>
      <c r="E18" s="8"/>
      <c r="F18" s="8"/>
      <c r="G18" s="6"/>
      <c r="H18" s="6"/>
      <c r="L18" s="6"/>
    </row>
    <row r="19" spans="1:22" ht="14.25" customHeight="1">
      <c r="A19" s="10"/>
      <c r="B19" s="8"/>
      <c r="C19" s="27"/>
      <c r="D19" s="8"/>
      <c r="E19" s="8"/>
      <c r="F19" s="8"/>
      <c r="G19" s="6"/>
      <c r="H19" s="6"/>
      <c r="L19" s="6"/>
    </row>
    <row r="20" spans="1:22" ht="16.5" customHeight="1">
      <c r="A20" s="10"/>
      <c r="B20" s="8"/>
      <c r="C20" s="8"/>
      <c r="E20" s="8"/>
      <c r="F20" s="8"/>
      <c r="G20" s="6"/>
      <c r="H20" s="6"/>
      <c r="L20" s="6"/>
    </row>
    <row r="21" spans="1:22" ht="12.75" customHeight="1">
      <c r="A21" s="499" t="s">
        <v>2954</v>
      </c>
      <c r="B21" s="520" t="s">
        <v>2961</v>
      </c>
      <c r="D21" s="8"/>
      <c r="E21" s="8"/>
      <c r="F21" s="8"/>
      <c r="G21" s="6"/>
      <c r="H21" s="6"/>
      <c r="M21" s="6"/>
      <c r="Q21" s="167"/>
      <c r="T21" s="168"/>
      <c r="U21" s="168"/>
    </row>
    <row r="22" spans="1:22" ht="12.75" customHeight="1">
      <c r="A22" s="7"/>
      <c r="B22" s="8"/>
      <c r="D22" s="8"/>
      <c r="E22" s="8"/>
      <c r="F22" s="8"/>
      <c r="G22" s="131" t="str">
        <f>+System10!G25</f>
        <v>partnerská zľava:</v>
      </c>
      <c r="H22" s="6"/>
      <c r="M22" s="6"/>
      <c r="U22" s="168"/>
    </row>
    <row r="23" spans="1:22" ht="12.75" customHeight="1">
      <c r="A23" s="14" t="str">
        <f>+System10!A26</f>
        <v>Objednávacie kódy, ceny:</v>
      </c>
      <c r="B23" s="8"/>
      <c r="D23" s="8"/>
      <c r="E23" s="8"/>
      <c r="F23" s="8"/>
      <c r="G23" s="143">
        <f>profil!C15</f>
        <v>0</v>
      </c>
      <c r="H23" s="28"/>
      <c r="M23" s="6"/>
      <c r="O23" s="165"/>
      <c r="T23" s="168"/>
      <c r="V23" s="168"/>
    </row>
    <row r="24" spans="1:22" ht="12.75" customHeight="1">
      <c r="A24" s="7"/>
      <c r="B24" s="19" t="str">
        <f>+System10!B27</f>
        <v>kód</v>
      </c>
      <c r="C24" s="18" t="str">
        <f>+System10!C27</f>
        <v>názov</v>
      </c>
      <c r="D24" s="19" t="str">
        <f>+System10!D27</f>
        <v>ks</v>
      </c>
      <c r="E24" s="19" t="str">
        <f>+System10!E27</f>
        <v>cena/ks</v>
      </c>
      <c r="F24" s="19" t="str">
        <f>+System10!F27</f>
        <v>cena celkom</v>
      </c>
      <c r="G24" s="20" t="str">
        <f>+System10!G27</f>
        <v>celkom netto:</v>
      </c>
      <c r="H24" s="6"/>
      <c r="I24" s="18" t="str">
        <f>texty!A29</f>
        <v>Poznámka:</v>
      </c>
      <c r="J24" s="18"/>
      <c r="L24" s="6"/>
      <c r="N24" s="165"/>
      <c r="O24" s="165"/>
      <c r="U24" s="168"/>
      <c r="V24" s="168"/>
    </row>
    <row r="25" spans="1:22" ht="12.75" customHeight="1">
      <c r="A25" s="7" t="str">
        <f>+System10!A28</f>
        <v>Horný profil:</v>
      </c>
      <c r="B25" s="16">
        <f>+VLOOKUP(O5,data!$C$605:$D$614,2,0)</f>
        <v>98110</v>
      </c>
      <c r="C25" s="25" t="str">
        <f>+VLOOKUP(B25,cennik!$A:$G,2,FALSE)</f>
        <v>SEVROLL-HOR. VEDENIE COMFORT 1,70 M STR.</v>
      </c>
      <c r="D25" s="17">
        <v>1</v>
      </c>
      <c r="E25" s="92">
        <f>+VLOOKUP(B25,cennik!$A:$G,3,FALSE)</f>
        <v>32.275260000000003</v>
      </c>
      <c r="F25" s="92">
        <f t="shared" ref="F25:F31" si="0">+E25*D25</f>
        <v>32.275260000000003</v>
      </c>
      <c r="G25" s="93">
        <f t="shared" ref="G25:G31" si="1">+F25*(100-$G$23)/100</f>
        <v>32.275260000000003</v>
      </c>
      <c r="H25" s="6" t="str">
        <f>cennik!$B$2</f>
        <v>EUR</v>
      </c>
      <c r="I25" s="483" t="str">
        <f>IFERROR(IF((VLOOKUP(B25,cennik!A:L,12,0))="O",texty!$A$250,""),"")</f>
        <v>Na objednávku</v>
      </c>
      <c r="J25" s="196">
        <f>IF(D25&gt;0,IF(VLOOKUP(B25,cennik!A:L,12,FALSE)="O",1,""),"")</f>
        <v>1</v>
      </c>
      <c r="L25" s="6"/>
      <c r="M25" s="165"/>
      <c r="N25" s="165"/>
      <c r="O25" s="165"/>
      <c r="V25" s="168"/>
    </row>
    <row r="26" spans="1:22" ht="12.75" customHeight="1">
      <c r="A26" s="7" t="str">
        <f>+System10!A29</f>
        <v>spodný profil:</v>
      </c>
      <c r="B26" s="16">
        <f>+VLOOKUP(O5,data!$C$615:$D$624,2,0)</f>
        <v>163106</v>
      </c>
      <c r="C26" s="25" t="str">
        <f>+VLOOKUP(B26,cennik!$A:$G,2,FALSE)</f>
        <v>SEVROLL Doubler II spodné vedenie 1,7m strie</v>
      </c>
      <c r="D26" s="17">
        <v>1</v>
      </c>
      <c r="E26" s="92">
        <f>+VLOOKUP(B26,cennik!$A:$G,3,FALSE)</f>
        <v>15.83633</v>
      </c>
      <c r="F26" s="92">
        <f t="shared" si="0"/>
        <v>15.83633</v>
      </c>
      <c r="G26" s="93">
        <f t="shared" si="1"/>
        <v>15.83633</v>
      </c>
      <c r="H26" s="6" t="str">
        <f>cennik!$B$2</f>
        <v>EUR</v>
      </c>
      <c r="I26" s="483" t="str">
        <f>IFERROR(IF((VLOOKUP(B26,cennik!A:L,12,0))="O",texty!$A$250,""),"")</f>
        <v>Na objednávku</v>
      </c>
      <c r="J26" s="196">
        <f>IF(D26&gt;0,IF(VLOOKUP(B26,cennik!A:L,12,FALSE)="O",1,""),"")</f>
        <v>1</v>
      </c>
      <c r="L26" s="6"/>
      <c r="N26" s="165"/>
      <c r="O26" s="165"/>
      <c r="P26" s="165"/>
      <c r="T26" s="168"/>
    </row>
    <row r="27" spans="1:22" ht="12.75" customHeight="1">
      <c r="A27" s="7" t="str">
        <f>+System10!$A$30</f>
        <v>krycí profil (maska):</v>
      </c>
      <c r="B27" s="16">
        <f>+VLOOKUP(O5,data!$C$625:$D$634,2,0)</f>
        <v>163122</v>
      </c>
      <c r="C27" s="25" t="str">
        <f>+VLOOKUP(B27,cennik!$A:$G,2,FALSE)</f>
        <v>SEVROLL-MASKA DOUBLER II 1,7 M strieborn</v>
      </c>
      <c r="D27" s="17">
        <v>1</v>
      </c>
      <c r="E27" s="92">
        <f>+VLOOKUP(B27,cennik!$A:$G,3,FALSE)</f>
        <v>5.2064599999999999</v>
      </c>
      <c r="F27" s="92">
        <f t="shared" si="0"/>
        <v>5.2064599999999999</v>
      </c>
      <c r="G27" s="93">
        <f t="shared" si="1"/>
        <v>5.2064599999999999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L27" s="6"/>
      <c r="N27" s="165"/>
      <c r="O27" s="165"/>
      <c r="P27" s="165"/>
      <c r="T27" s="168"/>
    </row>
    <row r="28" spans="1:22" ht="12.75" customHeight="1">
      <c r="A28" s="7" t="str">
        <f>+System10!A31</f>
        <v>horné vozíky (sady)</v>
      </c>
      <c r="B28" s="16">
        <v>98092</v>
      </c>
      <c r="C28" s="25" t="str">
        <f>+VLOOKUP(B28,cennik!$A:$G,2,FALSE)</f>
        <v>SEVROLL Comfort horný vozík 18mm - 2ks</v>
      </c>
      <c r="D28" s="17">
        <f>IF((D42+D41)&gt;D4,0,D4-(D42+D41))</f>
        <v>3</v>
      </c>
      <c r="E28" s="92">
        <f>+VLOOKUP(B28,cennik!$A:$G,3,FALSE)</f>
        <v>7.6409700000000003</v>
      </c>
      <c r="F28" s="92">
        <f t="shared" si="0"/>
        <v>22.922910000000002</v>
      </c>
      <c r="G28" s="93">
        <f t="shared" si="1"/>
        <v>22.922910000000002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L28" s="6"/>
      <c r="N28" s="165"/>
      <c r="O28" s="165"/>
      <c r="P28" s="165"/>
      <c r="T28" s="168"/>
      <c r="U28" s="168"/>
    </row>
    <row r="29" spans="1:22" ht="12.75" customHeight="1">
      <c r="A29" s="7" t="str">
        <f>+System10!A32</f>
        <v>spodné vozíky (sada)</v>
      </c>
      <c r="B29" s="16">
        <v>362316</v>
      </c>
      <c r="C29" s="25" t="str">
        <f>+VLOOKUP(B29,cennik!$A:$G,2,FALSE)</f>
        <v>SEV-2x spodný vozík DTD 18mm, bez pozicionéru, bez pružiny</v>
      </c>
      <c r="D29" s="17">
        <f>+D4</f>
        <v>3</v>
      </c>
      <c r="E29" s="92">
        <f>+VLOOKUP(B29,cennik!$A:$G,3,FALSE)</f>
        <v>4.5556599999999996</v>
      </c>
      <c r="F29" s="92">
        <f t="shared" si="0"/>
        <v>13.666979999999999</v>
      </c>
      <c r="G29" s="93">
        <f t="shared" si="1"/>
        <v>13.666979999999999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L29" s="6"/>
      <c r="M29" s="165"/>
      <c r="N29" s="165"/>
      <c r="O29" s="165"/>
      <c r="P29" s="165"/>
      <c r="U29" s="168"/>
    </row>
    <row r="30" spans="1:22" ht="12.75" customHeight="1">
      <c r="A30" s="7" t="str">
        <f>+System10!A33</f>
        <v>dorazový kartáč</v>
      </c>
      <c r="B30" s="16">
        <v>229433</v>
      </c>
      <c r="C30" s="25" t="str">
        <f>+VLOOKUP(B30,cennik!$A:$G,2,FALSE)</f>
        <v>SEVROLL dorazový kartáč zásuvný 4,8x4mm</v>
      </c>
      <c r="D30" s="17">
        <f>CEILING((B4*D4*2/1000),1)</f>
        <v>0</v>
      </c>
      <c r="E30" s="92">
        <f>+VLOOKUP(B30,cennik!$A:$G,3,FALSE)</f>
        <v>6.4699999999999994E-2</v>
      </c>
      <c r="F30" s="92">
        <f t="shared" si="0"/>
        <v>0</v>
      </c>
      <c r="G30" s="93">
        <f t="shared" si="1"/>
        <v>0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L30" s="6"/>
    </row>
    <row r="31" spans="1:22" ht="12.75" customHeight="1">
      <c r="A31" s="7" t="str">
        <f>+System10!A34</f>
        <v>úchytková lišta</v>
      </c>
      <c r="B31" s="16">
        <f>+VLOOKUP(P7,data!$C$673:$D$674,2,0)</f>
        <v>135684</v>
      </c>
      <c r="C31" s="25" t="str">
        <f>+VLOOKUP(B31,cennik!$A:$G,2,FALSE)</f>
        <v>SEVROLL Unicomfort II úch.lišta 2,7m str.</v>
      </c>
      <c r="D31" s="17">
        <f>IF(B10&lt;=1347,D4*2/2,D4*2)</f>
        <v>3</v>
      </c>
      <c r="E31" s="92">
        <f>+VLOOKUP(B31,cennik!$A:$G,3,FALSE)</f>
        <v>25.76718</v>
      </c>
      <c r="F31" s="92">
        <f t="shared" si="0"/>
        <v>77.301540000000003</v>
      </c>
      <c r="G31" s="93">
        <f t="shared" si="1"/>
        <v>77.301540000000003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L31" s="6"/>
    </row>
    <row r="32" spans="1:22" ht="12.75" customHeight="1">
      <c r="E32" s="95"/>
      <c r="F32" s="95"/>
      <c r="G32" s="95"/>
      <c r="H32" s="6"/>
      <c r="I32" s="483" t="str">
        <f>IFERROR(IF((VLOOKUP(B32,cennik!A:L,12,0))="O",texty!$A$250,""),"")</f>
        <v/>
      </c>
      <c r="J32" s="196"/>
      <c r="L32" s="3"/>
    </row>
    <row r="33" spans="1:22" ht="12.75" customHeight="1">
      <c r="A33" s="14" t="str">
        <f>texty!$A$66</f>
        <v>Voliteľné príslušenstvo:</v>
      </c>
      <c r="B33" s="124"/>
      <c r="C33" s="125"/>
      <c r="D33" s="492" t="str">
        <f>+Faworyt!D34</f>
        <v>zadajte počet:</v>
      </c>
      <c r="E33" s="126"/>
      <c r="F33" s="126"/>
      <c r="G33" s="127"/>
      <c r="H33" s="128"/>
      <c r="I33" s="483" t="str">
        <f>IFERROR(IF((VLOOKUP(B33,cennik!A:L,12,0))="O",texty!$A$250,""),"")</f>
        <v/>
      </c>
      <c r="J33" s="196"/>
      <c r="L33" s="3"/>
    </row>
    <row r="34" spans="1:22" ht="12.75" customHeight="1">
      <c r="A34" s="7" t="str">
        <f>texty!$A$88</f>
        <v>pozicionér do horného vedenia</v>
      </c>
      <c r="B34" s="192">
        <v>298035</v>
      </c>
      <c r="C34" s="38" t="str">
        <f>+VLOOKUP(B34,cennik!$A:$G,2,FALSE)</f>
        <v>SEVROLL Fix pozicionér pre horný vozík tran.</v>
      </c>
      <c r="D34" s="29"/>
      <c r="E34" s="219">
        <f>+VLOOKUP(B34,cennik!$A:$G,3,FALSE)</f>
        <v>1.0605800000000001</v>
      </c>
      <c r="F34" s="106">
        <f>+E34*D34</f>
        <v>0</v>
      </c>
      <c r="G34" s="105">
        <f t="shared" ref="G34:G57" si="2">+F34*(100-$F$23)/100</f>
        <v>0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L34" s="3"/>
    </row>
    <row r="35" spans="1:22" ht="12.75" customHeight="1">
      <c r="A35" s="7" t="str">
        <f>texty!$A$111</f>
        <v xml:space="preserve">pozicionér </v>
      </c>
      <c r="B35" s="16">
        <v>89063</v>
      </c>
      <c r="C35" s="38" t="str">
        <f>+VLOOKUP(B35,cennik!$A:$G,2,FALSE)</f>
        <v>SEV - pozicionér HI-TEC</v>
      </c>
      <c r="D35" s="29"/>
      <c r="E35" s="219">
        <f>+VLOOKUP(B35,cennik!$A:$G,3,FALSE)</f>
        <v>0.31335000000000002</v>
      </c>
      <c r="F35" s="106">
        <f t="shared" ref="F35:F57" si="3">+E35*D35</f>
        <v>0</v>
      </c>
      <c r="G35" s="105">
        <f t="shared" si="2"/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L35" s="6"/>
      <c r="M35" s="165"/>
      <c r="N35" s="165"/>
      <c r="O35" s="165"/>
      <c r="P35" s="165"/>
      <c r="T35" s="168"/>
      <c r="V35" s="168"/>
    </row>
    <row r="36" spans="1:22" ht="12.75" customHeight="1">
      <c r="A36" s="436" t="str">
        <f>texty!$A$228</f>
        <v> Tlmič dorazu MINI do 25 kg (pár)</v>
      </c>
      <c r="B36" s="16">
        <v>318662</v>
      </c>
      <c r="C36" s="25" t="str">
        <f>+VLOOKUP(B36,cennik!$A:$G,2,FALSE)</f>
        <v>SEVROLL tlmič dorazu Mini SV25 - 2ks</v>
      </c>
      <c r="D36" s="387"/>
      <c r="E36" s="92">
        <f>+VLOOKUP(B36,cennik!$A:$G,3,FALSE)</f>
        <v>22.368510000000001</v>
      </c>
      <c r="F36" s="97">
        <f>+CEILING(D36,1)*E36</f>
        <v>0</v>
      </c>
      <c r="G36" s="105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L36" s="6"/>
      <c r="M36" s="165"/>
      <c r="N36" s="165"/>
      <c r="O36" s="165"/>
      <c r="P36" s="165"/>
      <c r="T36" s="168"/>
      <c r="V36" s="168"/>
    </row>
    <row r="37" spans="1:22" ht="12.75" customHeight="1">
      <c r="A37" s="436" t="str">
        <f>texty!$A$229</f>
        <v> Tlmič dorazu MINI do 40 kg (pár)</v>
      </c>
      <c r="B37" s="24">
        <v>283956</v>
      </c>
      <c r="C37" s="25" t="str">
        <f>+VLOOKUP(B37,cennik!$A:$G,2,FALSE)</f>
        <v>SEVROLL tlmič dorazu Mini SV40 - 2ks</v>
      </c>
      <c r="D37" s="387"/>
      <c r="E37" s="92">
        <f>+VLOOKUP(B37,cennik!$A:$G,3,FALSE)</f>
        <v>22.368510000000001</v>
      </c>
      <c r="F37" s="97">
        <f>+CEILING(D37,1)*E37</f>
        <v>0</v>
      </c>
      <c r="G37" s="105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L37" s="6"/>
      <c r="M37" s="165"/>
      <c r="N37" s="165"/>
      <c r="O37" s="165"/>
      <c r="P37" s="165"/>
      <c r="T37" s="168"/>
      <c r="V37" s="168"/>
    </row>
    <row r="38" spans="1:22" ht="12.75" customHeight="1">
      <c r="A38" s="436" t="str">
        <f>texty!$A$230</f>
        <v> Tlmič dorazu MINI do 60 kg (pár)</v>
      </c>
      <c r="B38" s="24">
        <v>351743</v>
      </c>
      <c r="C38" s="25" t="str">
        <f>+VLOOKUP(B38,cennik!$A:$G,2,FALSE)</f>
        <v/>
      </c>
      <c r="D38" s="387"/>
      <c r="E38" s="92">
        <f>+VLOOKUP(B38,cennik!$A:$G,3,FALSE)</f>
        <v>22.368510000000001</v>
      </c>
      <c r="F38" s="97">
        <f>+CEILING(D38,1)*E38</f>
        <v>0</v>
      </c>
      <c r="G38" s="105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L38" s="6"/>
      <c r="M38" s="165"/>
      <c r="N38" s="165"/>
      <c r="O38" s="165"/>
      <c r="P38" s="165"/>
      <c r="T38" s="168"/>
      <c r="V38" s="168"/>
    </row>
    <row r="39" spans="1:22" ht="12.75" customHeight="1">
      <c r="A39" s="436" t="str">
        <f>texty!$A$231</f>
        <v> Tlmič pre stredné krídlo do 25 kg</v>
      </c>
      <c r="B39" s="24">
        <v>318663</v>
      </c>
      <c r="C39" s="25" t="str">
        <f>+VLOOKUP(B39,cennik!$A:$G,2,FALSE)</f>
        <v>SEVROLL tlmič Central 10/18mm obojst. 25 kg</v>
      </c>
      <c r="D39" s="387"/>
      <c r="E39" s="92">
        <f>+VLOOKUP(B39,cennik!$A:$G,3,FALSE)</f>
        <v>47.918750000000003</v>
      </c>
      <c r="F39" s="97">
        <f>+CEILING(D39,1)*E39</f>
        <v>0</v>
      </c>
      <c r="G39" s="105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L39" s="6"/>
      <c r="M39" s="165"/>
      <c r="N39" s="165"/>
      <c r="O39" s="165"/>
      <c r="P39" s="165"/>
      <c r="T39" s="168"/>
      <c r="V39" s="168"/>
    </row>
    <row r="40" spans="1:22" ht="12.75" customHeight="1">
      <c r="A40" s="436" t="str">
        <f>texty!$A$232</f>
        <v> Tlmič pre stredné krídlo do 40 kg</v>
      </c>
      <c r="B40" s="24">
        <v>283955</v>
      </c>
      <c r="C40" s="25" t="str">
        <f>+VLOOKUP(B40,cennik!$A:$G,2,FALSE)</f>
        <v>SEVROLL tlmič Central 10/18mm obojst.25-40kg</v>
      </c>
      <c r="D40" s="387"/>
      <c r="E40" s="92">
        <f>+VLOOKUP(B40,cennik!$A:$G,3,FALSE)</f>
        <v>47.918750000000003</v>
      </c>
      <c r="F40" s="97">
        <f>+CEILING(D40,1)*E40</f>
        <v>0</v>
      </c>
      <c r="G40" s="105">
        <f t="shared" si="2"/>
        <v>0</v>
      </c>
      <c r="H40" s="24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L40" s="6"/>
      <c r="M40" s="165"/>
      <c r="N40" s="165"/>
      <c r="O40" s="165"/>
      <c r="P40" s="165"/>
      <c r="T40" s="168"/>
      <c r="V40" s="168"/>
    </row>
    <row r="41" spans="1:22" ht="12.75" customHeight="1">
      <c r="A41" s="7" t="str">
        <f>texty!$A$97</f>
        <v>tlmič dorazu (pár) 25 kg</v>
      </c>
      <c r="B41" s="24">
        <v>227185</v>
      </c>
      <c r="C41" s="38" t="str">
        <f>+VLOOKUP(B41,cennik!$A:$G,2,FALSE)</f>
        <v>K-SEVROLL tlmič dorazu 10/18mm 14-25kg(L+P)</v>
      </c>
      <c r="D41" s="29"/>
      <c r="E41" s="219">
        <f>+VLOOKUP(B41,cennik!$A:$G,3,FALSE)</f>
        <v>0</v>
      </c>
      <c r="F41" s="106">
        <f>+E41*D41</f>
        <v>0</v>
      </c>
      <c r="G41" s="105">
        <f t="shared" si="2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L41" s="6"/>
      <c r="M41" s="165"/>
      <c r="N41" s="165"/>
      <c r="O41" s="165"/>
      <c r="P41" s="165"/>
      <c r="T41" s="168"/>
      <c r="V41" s="168"/>
    </row>
    <row r="42" spans="1:22" ht="12.75" customHeight="1">
      <c r="A42" s="7" t="str">
        <f>texty!$A$98</f>
        <v>tlmič dorazu (pár) 50 kg</v>
      </c>
      <c r="B42" s="24">
        <v>227187</v>
      </c>
      <c r="C42" s="38" t="str">
        <f>+VLOOKUP(B42,cennik!$A:$G,2,FALSE)</f>
        <v>K-SEVROLL tlmič dorazu 10/18mm 25-50kg(L+P)</v>
      </c>
      <c r="D42" s="29"/>
      <c r="E42" s="219">
        <f>+VLOOKUP(B42,cennik!$A:$G,3,FALSE)</f>
        <v>0</v>
      </c>
      <c r="F42" s="106">
        <f>+E42*D42</f>
        <v>0</v>
      </c>
      <c r="G42" s="105">
        <f t="shared" si="2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L42" s="6"/>
      <c r="M42" s="165"/>
      <c r="N42" s="165"/>
      <c r="O42" s="165"/>
      <c r="P42" s="165"/>
      <c r="T42" s="168"/>
      <c r="V42" s="168"/>
    </row>
    <row r="43" spans="1:22" ht="12.75" customHeight="1">
      <c r="A43" s="7" t="str">
        <f>texty!$A$196</f>
        <v>Spona dorazovej kefky</v>
      </c>
      <c r="B43" s="16">
        <v>223569</v>
      </c>
      <c r="C43" s="38" t="str">
        <f>+VLOOKUP(B43,cennik!$A:$G,2,FALSE)</f>
        <v>SEVROLL spona dorazového kartáča</v>
      </c>
      <c r="D43" s="29"/>
      <c r="E43" s="219">
        <f>+VLOOKUP(B43,cennik!$A:$G,3,FALSE)</f>
        <v>7.399E-2</v>
      </c>
      <c r="F43" s="106">
        <f t="shared" si="3"/>
        <v>0</v>
      </c>
      <c r="G43" s="105">
        <f t="shared" si="2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L43" s="6"/>
      <c r="M43" s="165"/>
      <c r="N43" s="165"/>
      <c r="O43" s="165"/>
      <c r="P43" s="165"/>
      <c r="T43" s="168"/>
      <c r="V43" s="168"/>
    </row>
    <row r="44" spans="1:22" ht="12.75" customHeight="1">
      <c r="A44" s="146" t="str">
        <f>texty!$A$114</f>
        <v>spojovací profil H18-3metre</v>
      </c>
      <c r="B44" s="16">
        <f>+VLOOKUP($P$7,data!$C$463:$D$472,2,0)</f>
        <v>89010</v>
      </c>
      <c r="C44" s="38" t="str">
        <f>+VLOOKUP(B44,cennik!$A:$G,2,FALSE)</f>
        <v>SEVROLL spojovacia lišta H18 3m strieborná</v>
      </c>
      <c r="D44" s="29"/>
      <c r="E44" s="219">
        <f>+VLOOKUP(B44,cennik!$A:$G,3,FALSE)</f>
        <v>13.89648</v>
      </c>
      <c r="F44" s="106">
        <f t="shared" si="3"/>
        <v>0</v>
      </c>
      <c r="G44" s="105">
        <f t="shared" si="2"/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L44" s="6"/>
      <c r="M44" s="165"/>
      <c r="N44" s="165"/>
      <c r="O44" s="165"/>
      <c r="P44" s="165"/>
      <c r="T44" s="168"/>
      <c r="V44" s="168"/>
    </row>
    <row r="45" spans="1:22" ht="12.75" customHeight="1">
      <c r="A45" s="146" t="str">
        <f>texty!$A$115</f>
        <v>spojovací T profil - 3metre /s drážkou/</v>
      </c>
      <c r="B45" s="16">
        <f>+VLOOKUP($P$7,data!$C$473:$D$482,2,0)</f>
        <v>89188</v>
      </c>
      <c r="C45" s="38" t="str">
        <f>IF(B45=data!$D$54,texty!$A$239,+VLOOKUP(B45,cennik!$A$3:$G$907,2,FALSE))</f>
        <v>SEVROLL spojovaciá lišta "T" 3m strieborná</v>
      </c>
      <c r="D45" s="29"/>
      <c r="E45" s="92">
        <f>IF(B45=data!$D$63,0,+VLOOKUP(B45,cennik!$A$3:$G$907,3,FALSE))</f>
        <v>10.629860000000001</v>
      </c>
      <c r="F45" s="92">
        <f t="shared" si="3"/>
        <v>0</v>
      </c>
      <c r="G45" s="105">
        <f t="shared" si="2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L45" s="6"/>
      <c r="M45" s="165"/>
      <c r="N45" s="165"/>
      <c r="O45" s="165"/>
      <c r="P45" s="165"/>
      <c r="T45" s="168"/>
      <c r="V45" s="168"/>
    </row>
    <row r="46" spans="1:22" ht="12.75" customHeight="1">
      <c r="A46" s="146" t="str">
        <f>texty!$A$116</f>
        <v>spojovací T profil - 3metre /s lemom/</v>
      </c>
      <c r="B46" s="16">
        <f>+VLOOKUP($P$7,data!$C$483:$D$492,2,0)</f>
        <v>89013</v>
      </c>
      <c r="C46" s="38" t="str">
        <f>IF(B46=data!$D$54,texty!$A$239,+VLOOKUP(B46,cennik!$A$3:$G$907,2,FALSE))</f>
        <v>SEVROLL spojovacia lišta T Decor 3m striebor</v>
      </c>
      <c r="D46" s="29"/>
      <c r="E46" s="92">
        <f>IF(B46=data!$D$63,0,+VLOOKUP(B46,cennik!$A$3:$G$907,3,FALSE))</f>
        <v>9.5692900000000005</v>
      </c>
      <c r="F46" s="92">
        <f t="shared" si="3"/>
        <v>0</v>
      </c>
      <c r="G46" s="105">
        <f t="shared" si="2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L46" s="6"/>
      <c r="M46" s="165"/>
      <c r="N46" s="165"/>
      <c r="O46" s="165"/>
      <c r="P46" s="165"/>
      <c r="T46" s="168"/>
      <c r="V46" s="168"/>
    </row>
    <row r="47" spans="1:22" ht="12.75" customHeight="1">
      <c r="A47" s="146" t="str">
        <f>texty!$A$117</f>
        <v>"U" profil na DTD 18mm - 3 metre /hladký/</v>
      </c>
      <c r="B47" s="6">
        <f>+VLOOKUP($P$7,data!$C$493:$D$502,2,0)</f>
        <v>89269</v>
      </c>
      <c r="C47" s="38" t="str">
        <f>+VLOOKUP(B47,cennik!$A:$G,2,FALSE)</f>
        <v>SEVROLL profil "U" pre DTD 18mm 3m striebor</v>
      </c>
      <c r="D47" s="29"/>
      <c r="E47" s="219">
        <f>+VLOOKUP(B47,cennik!$A:$G,3,FALSE)</f>
        <v>5.0618400000000001</v>
      </c>
      <c r="F47" s="106">
        <f t="shared" si="3"/>
        <v>0</v>
      </c>
      <c r="G47" s="105">
        <f t="shared" si="2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L47" s="6"/>
      <c r="M47" s="165"/>
      <c r="N47" s="165"/>
      <c r="O47" s="165"/>
      <c r="P47" s="165"/>
      <c r="T47" s="168"/>
      <c r="V47" s="168"/>
    </row>
    <row r="48" spans="1:22" ht="12.75" customHeight="1">
      <c r="A48" s="146" t="str">
        <f>texty!$A$118</f>
        <v>"U" profil na DTD 18mm - 3 metre /lem/</v>
      </c>
      <c r="B48" s="16">
        <f>+VLOOKUP($P$7,data!$C$502:$D$512,2,0)</f>
        <v>89016</v>
      </c>
      <c r="C48" s="38" t="str">
        <f>IF(B48=data!$D$54,texty!$A$239,+VLOOKUP(B48,cennik!$A$3:$G$907,2,FALSE))</f>
        <v>SEVROLL profil "U" Decor 18mm 3m strieborná</v>
      </c>
      <c r="D48" s="29"/>
      <c r="E48" s="92">
        <f>IF(B48=data!$D$63,0,+VLOOKUP(B48,cennik!$A$3:$G$907,3,FALSE))</f>
        <v>7.1588900000000004</v>
      </c>
      <c r="F48" s="92">
        <f t="shared" si="3"/>
        <v>0</v>
      </c>
      <c r="G48" s="105">
        <f t="shared" si="2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L48" s="6"/>
      <c r="M48" s="165"/>
      <c r="N48" s="165"/>
      <c r="O48" s="165"/>
      <c r="P48" s="165"/>
      <c r="T48" s="168"/>
      <c r="V48" s="168"/>
    </row>
    <row r="49" spans="1:13" ht="12.75" customHeight="1">
      <c r="A49" s="146" t="str">
        <f>texty!$A$119</f>
        <v>uholník mini 11x17mm - 1,7m</v>
      </c>
      <c r="B49" s="6">
        <f>+VLOOKUP($P$7,data!$C$513:$D$522,2,0)</f>
        <v>89134</v>
      </c>
      <c r="C49" s="38" t="str">
        <f>IF(B49=data!$D$54,texty!$A$239,+VLOOKUP(B49,cennik!$A$3:$G$907,2,FALSE))</f>
        <v>SEVROLL-182 UHOLNÍK 17*11 STRIEBOR. 1,7M</v>
      </c>
      <c r="D49" s="29"/>
      <c r="E49" s="92">
        <f>IF(B49=data!$D$63,0,+VLOOKUP(B49,cennik!$A$3:$G$907,3,FALSE))</f>
        <v>2.5309200000000001</v>
      </c>
      <c r="F49" s="92">
        <f>+E49*D49</f>
        <v>0</v>
      </c>
      <c r="G49" s="105">
        <f t="shared" si="2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L49" s="3"/>
    </row>
    <row r="50" spans="1:13" ht="12.75" customHeight="1">
      <c r="A50" s="146" t="str">
        <f>texty!$A$120</f>
        <v>uholník mini 11x17mm - 2,35m</v>
      </c>
      <c r="B50" s="6">
        <f>+VLOOKUP($P$7,data!$C$523:$D$532,2,0)</f>
        <v>89137</v>
      </c>
      <c r="C50" s="38" t="str">
        <f>IF(B50=data!$D$54,texty!$A$239,+VLOOKUP(B50,cennik!$A$3:$G$907,2,FALSE))</f>
        <v>SEVROLL-183 UHOLNÍK 17*11 STRIEBOR. 2,35</v>
      </c>
      <c r="D50" s="29"/>
      <c r="E50" s="92">
        <f>IF(B50=data!$D$63,0,+VLOOKUP(B50,cennik!$A$3:$G$907,3,FALSE))</f>
        <v>3.5673900000000001</v>
      </c>
      <c r="F50" s="92">
        <f>+E50*D50</f>
        <v>0</v>
      </c>
      <c r="G50" s="105">
        <f t="shared" si="2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L50" s="6"/>
    </row>
    <row r="51" spans="1:13" ht="12.75" customHeight="1">
      <c r="A51" s="146" t="str">
        <f>texty!$A$121</f>
        <v>uholník mini 11x17mm - 3m</v>
      </c>
      <c r="B51" s="15">
        <f>+VLOOKUP($P$7,data!$C$533:$D$542,2,0)</f>
        <v>89140</v>
      </c>
      <c r="C51" s="38" t="str">
        <f>IF(B51=data!$D$54,texty!$A$239,+VLOOKUP(B51,cennik!$A$3:$G$907,2,FALSE))</f>
        <v>SEVROLL-184 UHOLNÍK 17*11 STRIEBOR. 3M</v>
      </c>
      <c r="D51" s="29"/>
      <c r="E51" s="92">
        <f>IF(B51=data!$D$63,0,+VLOOKUP(B51,cennik!$A$3:$G$907,3,FALSE))</f>
        <v>4.4833400000000001</v>
      </c>
      <c r="F51" s="92">
        <f>+E51*D51</f>
        <v>0</v>
      </c>
      <c r="G51" s="105">
        <f t="shared" si="2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</row>
    <row r="52" spans="1:13" ht="12.75" customHeight="1">
      <c r="A52" s="146" t="str">
        <f>texty!$A$122</f>
        <v>uholník K2 19x18mm - 1,7m</v>
      </c>
      <c r="B52" s="24">
        <f>+VLOOKUP($P$7,data!$C$543:$D$552,2,0)</f>
        <v>89050</v>
      </c>
      <c r="C52" s="38" t="str">
        <f>IF(B52=data!$D$54,texty!$A$239,+VLOOKUP(B52,cennik!$A$3:$G$907,2,FALSE))</f>
        <v>SEVROLL-278 UHOLNÍK K2 1,70M STRIEBORNÁ</v>
      </c>
      <c r="D52" s="29"/>
      <c r="E52" s="92">
        <f>IF(B52=data!$D$63,0,+VLOOKUP(B52,cennik!$A$3:$G$907,3,FALSE))</f>
        <v>3.7843300000000002</v>
      </c>
      <c r="F52" s="92">
        <f>+E52*D52</f>
        <v>0</v>
      </c>
      <c r="G52" s="105">
        <f t="shared" si="2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L52" s="6"/>
    </row>
    <row r="53" spans="1:13" ht="12.75" customHeight="1">
      <c r="A53" s="146" t="str">
        <f>texty!$A$123</f>
        <v>uholník K2 19x18mm - 2,35m</v>
      </c>
      <c r="B53" s="16">
        <f>+VLOOKUP($P$7,data!$C$553:$D$562,2,0)</f>
        <v>89053</v>
      </c>
      <c r="C53" s="38" t="str">
        <f>IF(B53=data!$D$54,texty!$A$239,+VLOOKUP(B53,cennik!$A$3:$G$907,2,FALSE))</f>
        <v>SEVROLL uholník K2 Decor 2,35m strieborná</v>
      </c>
      <c r="D53" s="30"/>
      <c r="E53" s="92">
        <f>IF(B53=data!$D$63,0,+VLOOKUP(B53,cennik!$A$3:$G$907,3,FALSE))</f>
        <v>5.25467</v>
      </c>
      <c r="F53" s="92">
        <f t="shared" si="3"/>
        <v>0</v>
      </c>
      <c r="G53" s="105">
        <f t="shared" si="2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L53" s="6"/>
    </row>
    <row r="54" spans="1:13" ht="12.75" customHeight="1">
      <c r="A54" s="146" t="str">
        <f>texty!$A$124</f>
        <v>uholník K2 19x18mm - 3,00m</v>
      </c>
      <c r="B54" s="16">
        <f>+VLOOKUP($P$7,data!$C$563:$D$572,2,0)</f>
        <v>89056</v>
      </c>
      <c r="C54" s="38" t="str">
        <f>IF(B54=data!$D$54,texty!$A$239,+VLOOKUP(B54,cennik!$A$3:$G$907,2,FALSE))</f>
        <v>SEVROLL uholník K2 Decor 3m strieborná</v>
      </c>
      <c r="D54" s="30"/>
      <c r="E54" s="92">
        <f>IF(B54=data!$D$63,0,+VLOOKUP(B54,cennik!$A$3:$G$907,3,FALSE))</f>
        <v>6.7009100000000004</v>
      </c>
      <c r="F54" s="92">
        <f t="shared" si="3"/>
        <v>0</v>
      </c>
      <c r="G54" s="105">
        <f t="shared" si="2"/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L54" s="6"/>
    </row>
    <row r="55" spans="1:13" ht="12.75" customHeight="1">
      <c r="A55" s="146" t="str">
        <f>texty!$A$241</f>
        <v>klínok pre dilatáciu výplne 16mm</v>
      </c>
      <c r="B55" s="16">
        <v>308631</v>
      </c>
      <c r="C55" s="38" t="str">
        <f>+VLOOKUP(B55,cennik!$A:$G,2,FALSE)</f>
        <v>SEVROLL klin pre lamino (100 ks) tl. 2mm</v>
      </c>
      <c r="D55" s="29"/>
      <c r="E55" s="219">
        <f>+VLOOKUP(B55,cennik!$A:$G,3,FALSE)</f>
        <v>9.0389999999999997</v>
      </c>
      <c r="F55" s="106">
        <f t="shared" si="3"/>
        <v>0</v>
      </c>
      <c r="G55" s="105">
        <f t="shared" ref="G55" si="4">+F55*(100-$G$23)/100</f>
        <v>0</v>
      </c>
      <c r="H55" s="6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  <c r="K55" s="5"/>
      <c r="L55" s="6"/>
    </row>
    <row r="56" spans="1:13" ht="12.75" customHeight="1">
      <c r="A56" s="436" t="str">
        <f>texty!$A$240</f>
        <v>zámok posuvných dverí</v>
      </c>
      <c r="B56" s="24">
        <v>216363</v>
      </c>
      <c r="C56" s="38" t="str">
        <f>+VLOOKUP(B56,cennik!$A:$G,2,FALSE)</f>
        <v>SEVROLL zámok na posuvné dvere 18 mm</v>
      </c>
      <c r="D56" s="29"/>
      <c r="E56" s="219">
        <f>+VLOOKUP(B56,cennik!$A:$G,3,FALSE)</f>
        <v>17.186150000000001</v>
      </c>
      <c r="F56" s="106">
        <f t="shared" si="3"/>
        <v>0</v>
      </c>
      <c r="G56" s="105">
        <f t="shared" si="2"/>
        <v>0</v>
      </c>
      <c r="H56" s="6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  <c r="L56" s="6"/>
    </row>
    <row r="57" spans="1:13" ht="12.75" customHeight="1">
      <c r="A57" s="7" t="str">
        <f>texty!$A$90</f>
        <v>protiprachový kartáč</v>
      </c>
      <c r="B57" s="24">
        <v>95946</v>
      </c>
      <c r="C57" s="25" t="str">
        <f>+VLOOKUP(B57,cennik!$A:$G,2,FALSE)</f>
        <v>SEVROLL protiprach.kartáč zásuvný 4,8x13mm</v>
      </c>
      <c r="D57" s="29"/>
      <c r="E57" s="219">
        <f>+VLOOKUP(B57,cennik!$A:$G,3,FALSE)</f>
        <v>0.16506999999999999</v>
      </c>
      <c r="F57" s="106">
        <f t="shared" si="3"/>
        <v>0</v>
      </c>
      <c r="G57" s="105">
        <f t="shared" si="2"/>
        <v>0</v>
      </c>
      <c r="H57" s="6" t="str">
        <f>cennik!$B$2</f>
        <v>EUR</v>
      </c>
      <c r="I57" s="483" t="str">
        <f>IFERROR(IF((VLOOKUP(B57,cennik!A:L,12,0))="O",texty!$A$250,""),"")</f>
        <v/>
      </c>
      <c r="J57" s="196" t="str">
        <f>IF(D57&gt;0,IF(VLOOKUP(B57,cennik!A:L,12,FALSE)="O",1,""),"")</f>
        <v/>
      </c>
      <c r="L57" s="6"/>
    </row>
    <row r="58" spans="1:13" ht="12.75" customHeight="1">
      <c r="B58" s="172"/>
      <c r="C58" s="172"/>
      <c r="D58" s="92"/>
      <c r="E58" s="92"/>
      <c r="F58" s="97"/>
      <c r="G58" s="93"/>
      <c r="H58" s="6"/>
      <c r="I58" s="186"/>
      <c r="J58" s="186"/>
      <c r="L58" s="6"/>
    </row>
    <row r="59" spans="1:13" ht="16">
      <c r="A59" s="285" t="str">
        <f>texty!$A$190</f>
        <v>Ďalšie príslušenstvo</v>
      </c>
      <c r="B59" s="286"/>
      <c r="C59" s="286"/>
      <c r="D59" s="286"/>
      <c r="E59" s="286"/>
      <c r="F59" s="286"/>
      <c r="G59" s="286"/>
      <c r="H59" s="286"/>
      <c r="I59" s="286"/>
      <c r="J59" s="286"/>
      <c r="K59" s="135"/>
    </row>
    <row r="60" spans="1:13" ht="12.75" customHeight="1">
      <c r="A60" s="285" t="str">
        <f>texty!$A$244</f>
        <v>Technický nákres tohoto systému</v>
      </c>
      <c r="B60" s="8"/>
      <c r="C60" s="8"/>
      <c r="D60" s="77" t="str">
        <f>texty!$A$15</f>
        <v>CELKOM  (bez DPH)</v>
      </c>
      <c r="E60" s="100"/>
      <c r="F60" s="102">
        <f>SUM(F25:F58)</f>
        <v>167.20947999999999</v>
      </c>
      <c r="G60" s="102">
        <f>SUM(G25:G57)</f>
        <v>167.20947999999999</v>
      </c>
      <c r="H60" s="6" t="str">
        <f>cennik!$B$2</f>
        <v>EUR</v>
      </c>
      <c r="I60" s="5"/>
      <c r="J60" s="186"/>
      <c r="K60" s="186"/>
      <c r="L60" s="5" t="str">
        <f>texty!A128</f>
        <v xml:space="preserve">strieborná </v>
      </c>
    </row>
    <row r="61" spans="1:13" ht="12.75" customHeight="1">
      <c r="A61" s="76" t="str">
        <f>System10!$A$67</f>
        <v>Vaša poznámka:</v>
      </c>
      <c r="B61" s="661"/>
      <c r="C61" s="662"/>
      <c r="D61" s="662"/>
      <c r="E61" s="662"/>
      <c r="F61" s="662"/>
      <c r="G61" s="663"/>
      <c r="H61" s="6"/>
      <c r="L61" s="5" t="str">
        <f>texty!A130</f>
        <v>oliva</v>
      </c>
    </row>
    <row r="62" spans="1:13" ht="12.75" customHeight="1">
      <c r="A62" s="657">
        <f>profil!$U$15</f>
        <v>0</v>
      </c>
      <c r="B62" s="658"/>
      <c r="C62" s="658"/>
      <c r="D62" s="658"/>
      <c r="E62" s="658"/>
      <c r="F62" s="658"/>
      <c r="G62" s="658"/>
      <c r="H62" s="658"/>
    </row>
    <row r="63" spans="1:13" ht="12.75" customHeight="1">
      <c r="A63" s="659" t="str">
        <f>IF(M63=1,texty!$A$215,IF(J63&gt;0,texty!$A$214,""))</f>
        <v>některé položky sú na objednávku, počítajte prosím s dodaciou  lehotou  do 5 týždnov</v>
      </c>
      <c r="B63" s="659"/>
      <c r="C63" s="659"/>
      <c r="D63" s="659"/>
      <c r="E63" s="659"/>
      <c r="F63" s="659"/>
      <c r="G63" s="659"/>
      <c r="H63" s="659"/>
      <c r="J63" s="6">
        <f>SUM(J25:J62)</f>
        <v>3</v>
      </c>
      <c r="K63" s="5"/>
      <c r="M63" s="5">
        <f>IF(ISERROR(J63),1,0)</f>
        <v>0</v>
      </c>
    </row>
    <row r="64" spans="1:13" ht="12.75" customHeight="1"/>
    <row r="76" spans="1:1" ht="12.75" hidden="1" customHeight="1">
      <c r="A76" s="5">
        <v>3</v>
      </c>
    </row>
    <row r="77" spans="1:1" ht="12.75" customHeight="1"/>
  </sheetData>
  <sheetProtection algorithmName="SHA-512" hashValue="DpPDXDSZmsZaWG8d8QIj/xBLFF0zo9YFp+TScaq2GJw4hRxo15/IUYtLrmG4TLUvFWklS0eUn5y6NGCGq1LTBA==" saltValue="wlsxhIZ+dLiq90oduXJ3+w==" spinCount="100000" sheet="1" objects="1" scenarios="1"/>
  <mergeCells count="10">
    <mergeCell ref="U6:U7"/>
    <mergeCell ref="A62:H62"/>
    <mergeCell ref="A63:H63"/>
    <mergeCell ref="R6:R7"/>
    <mergeCell ref="S6:S7"/>
    <mergeCell ref="B5:E5"/>
    <mergeCell ref="B61:G61"/>
    <mergeCell ref="G4:I6"/>
    <mergeCell ref="A13:B14"/>
    <mergeCell ref="T6:T7"/>
  </mergeCells>
  <conditionalFormatting sqref="D6">
    <cfRule type="expression" dxfId="33" priority="5">
      <formula>$D$4=4</formula>
    </cfRule>
    <cfRule type="expression" dxfId="32" priority="6">
      <formula>$D$4&lt;&gt;4</formula>
    </cfRule>
  </conditionalFormatting>
  <conditionalFormatting sqref="G4">
    <cfRule type="expression" dxfId="31" priority="4">
      <formula>$D$4=4</formula>
    </cfRule>
  </conditionalFormatting>
  <conditionalFormatting sqref="A13">
    <cfRule type="expression" dxfId="30" priority="3">
      <formula>SUM($D$39:$D$40)&gt;0</formula>
    </cfRule>
  </conditionalFormatting>
  <dataValidations count="6">
    <dataValidation type="list" allowBlank="1" showInputMessage="1" showErrorMessage="1" sqref="E6:F6 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E9304FA-97A3-4A93-8B55-EDFFD34474E8}">
            <xm:f>$I25=texty!$A$250</xm:f>
            <x14:dxf>
              <font>
                <color rgb="FFFF0000"/>
              </font>
            </x14:dxf>
          </x14:cfRule>
          <xm:sqref>I25:I57</xm:sqref>
        </x14:conditionalFormatting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A25:H57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" style="5" customWidth="1"/>
    <col min="2" max="2" width="15.83203125" style="5" customWidth="1"/>
    <col min="3" max="3" width="56.5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8.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-8.75</v>
      </c>
    </row>
    <row r="2" spans="1:21" ht="18.75" customHeight="1">
      <c r="A2" s="538" t="s">
        <v>2950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",5,".",83)</f>
        <v>katalóg kovania 2018 str. 5.83</v>
      </c>
      <c r="B3" s="434" t="str">
        <f>CONCATENATE(texty!A34," / max.        2 740 mm /")</f>
        <v>výška / max.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25.5" customHeight="1">
      <c r="A4" s="10" t="str">
        <f>+System10!A4</f>
        <v>VNÚTORNÝ ROZMER SKRINE:</v>
      </c>
      <c r="B4" s="56"/>
      <c r="C4" s="56"/>
      <c r="D4" s="22">
        <v>4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 t="str">
        <f>IF(D4=4,texty!A227,"")</f>
        <v> Zvolili ste 4 krídla, zvoľte počet preložení (2 alebo 3)</v>
      </c>
      <c r="D6" s="299">
        <v>2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texty!A47</f>
        <v>krídlo dverí:</v>
      </c>
      <c r="B7" s="57">
        <f>+B4-40-IF(D40+D41+D42+D43&gt;0,5,0)</f>
        <v>-40</v>
      </c>
      <c r="C7" s="59">
        <f>+((C4-3+34*(D4-1))/D4+IF(AND(D4=4,D6=2),L1,0))</f>
        <v>16</v>
      </c>
      <c r="D7" s="8"/>
      <c r="E7" s="8"/>
      <c r="F7" s="3" t="str">
        <f>texty!$A$44</f>
        <v>Maximálna hmotnosť krídla je 35 kg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texty!$A$48</f>
        <v>rozmer výplne 18mm:</v>
      </c>
      <c r="B8" s="57">
        <f>+B7-1</f>
        <v>-41</v>
      </c>
      <c r="C8" s="59">
        <f>+C7-37</f>
        <v>-21</v>
      </c>
      <c r="D8" s="8"/>
      <c r="E8" s="8"/>
      <c r="F8" s="50"/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-2</v>
      </c>
      <c r="R8" s="5">
        <f>FLOOR(1500/Q8,1)</f>
        <v>-750</v>
      </c>
      <c r="S8" s="5">
        <f>FLOOR(2000/Q8,1)</f>
        <v>-1000</v>
      </c>
      <c r="T8" s="5">
        <f>FLOOR(3000/Q8,1)</f>
        <v>-1500</v>
      </c>
    </row>
    <row r="9" spans="1:21" ht="12.75" customHeight="1">
      <c r="A9" s="10" t="str">
        <f>texty!A49</f>
        <v>rozmer výplne 12mm:</v>
      </c>
      <c r="B9" s="57">
        <f>+B8</f>
        <v>-41</v>
      </c>
      <c r="C9" s="59">
        <f>+C7-17</f>
        <v>-1</v>
      </c>
      <c r="D9" s="8"/>
      <c r="E9" s="8"/>
      <c r="F9" s="50"/>
      <c r="G9" s="6"/>
      <c r="K9" s="37">
        <f>C10*D4</f>
        <v>-28</v>
      </c>
      <c r="L9" s="36">
        <f>(D4+1)*5</f>
        <v>25</v>
      </c>
      <c r="P9" s="5">
        <v>2</v>
      </c>
      <c r="Q9" s="164">
        <f t="shared" ref="Q9:Q12" si="0">Q8+$C$10+5</f>
        <v>-4</v>
      </c>
      <c r="R9" s="5">
        <f>(1500-C10)*R15</f>
        <v>-1507</v>
      </c>
      <c r="S9" s="5">
        <f>(2000-C10)*S15</f>
        <v>-2007</v>
      </c>
      <c r="T9" s="5">
        <f>(3000-C10)*T15</f>
        <v>-3007</v>
      </c>
      <c r="U9" s="5" t="s">
        <v>651</v>
      </c>
    </row>
    <row r="10" spans="1:21" ht="12.75" customHeight="1">
      <c r="A10" s="10" t="str">
        <f>texty!A50</f>
        <v>rozmer zrkadla /na DTD 12mm/</v>
      </c>
      <c r="B10" s="61">
        <f>+B8-4</f>
        <v>-45</v>
      </c>
      <c r="C10" s="66">
        <f>+C9-6</f>
        <v>-7</v>
      </c>
      <c r="D10" s="8"/>
      <c r="E10" s="8"/>
      <c r="G10" s="6"/>
      <c r="K10" s="5" t="s">
        <v>72</v>
      </c>
      <c r="N10" s="17" t="str">
        <f>IF(K11="jiné",#REF!,"")</f>
        <v/>
      </c>
      <c r="O10" s="21" t="str">
        <f>+E4</f>
        <v xml:space="preserve">strieborná </v>
      </c>
      <c r="P10" s="5">
        <v>3</v>
      </c>
      <c r="Q10" s="164">
        <f t="shared" si="0"/>
        <v>-6</v>
      </c>
    </row>
    <row r="11" spans="1:21" ht="12.75" customHeight="1">
      <c r="A11" s="10" t="str">
        <f>texty!$A$51</f>
        <v>Dĺžka úchytkového profilu (+2 mm)</v>
      </c>
      <c r="B11" s="68">
        <f>B8+2</f>
        <v>-39</v>
      </c>
      <c r="D11" s="8"/>
      <c r="E11" s="8"/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-8</v>
      </c>
    </row>
    <row r="12" spans="1:21" ht="12.75" customHeight="1">
      <c r="A12" s="10"/>
      <c r="B12" s="10"/>
      <c r="C12" s="540" t="s">
        <v>13</v>
      </c>
      <c r="D12" s="8"/>
      <c r="E12" s="8"/>
      <c r="F12" s="6"/>
      <c r="G12" s="6"/>
      <c r="K12" s="6">
        <f>C10*(D4-1)+(D4*5)</f>
        <v>-1</v>
      </c>
      <c r="L12" s="5">
        <f>IF(K12&lt;1500,1500,IF(K12&lt;2000,2000,IF(K12&lt;3000,3000,3000)))</f>
        <v>1500</v>
      </c>
      <c r="M12" s="5">
        <f>L12-K12</f>
        <v>1501</v>
      </c>
      <c r="P12" s="5">
        <v>5</v>
      </c>
      <c r="Q12" s="164">
        <f t="shared" si="0"/>
        <v>-10</v>
      </c>
    </row>
    <row r="13" spans="1:21" ht="12.75" customHeight="1">
      <c r="A13" s="7"/>
      <c r="B13" s="58"/>
      <c r="C13" s="540"/>
      <c r="D13" s="8"/>
      <c r="E13" s="8"/>
      <c r="F13" s="6"/>
      <c r="G13" s="6"/>
      <c r="K13" s="35"/>
      <c r="Q13" s="164"/>
    </row>
    <row r="14" spans="1:21" ht="12.75" customHeight="1">
      <c r="A14" s="7"/>
      <c r="B14" s="8"/>
      <c r="C14" s="12"/>
      <c r="D14" s="8"/>
      <c r="E14" s="8"/>
      <c r="F14" s="6"/>
      <c r="G14" s="6"/>
      <c r="K14" s="6"/>
      <c r="L14" s="5">
        <f>SUM(L12:L12)</f>
        <v>1500</v>
      </c>
      <c r="M14" s="5">
        <f>SUM(M12:M12)</f>
        <v>1501</v>
      </c>
      <c r="P14" s="5">
        <v>7</v>
      </c>
      <c r="Q14" s="164" t="e">
        <f>#REF!+$C$10+5</f>
        <v>#REF!</v>
      </c>
    </row>
    <row r="15" spans="1:21" ht="12.75" customHeight="1">
      <c r="B15" s="8"/>
      <c r="C15" s="12"/>
      <c r="D15" s="8"/>
      <c r="E15" s="8"/>
      <c r="F15" s="6"/>
      <c r="G15" s="6"/>
      <c r="K15" s="6"/>
      <c r="L15" s="5">
        <f>L14-C4</f>
        <v>1500</v>
      </c>
      <c r="P15" s="5" t="s">
        <v>650</v>
      </c>
      <c r="R15" s="5">
        <f>FLOOR($D$4/R8,1)</f>
        <v>-1</v>
      </c>
      <c r="S15" s="5">
        <f>FLOOR($D$4/S8,1)</f>
        <v>-1</v>
      </c>
      <c r="T15" s="5">
        <f>FLOOR($D$4/T8,1)</f>
        <v>-1</v>
      </c>
    </row>
    <row r="16" spans="1:21" ht="12.75" customHeight="1">
      <c r="A16" s="7"/>
      <c r="B16" s="8"/>
      <c r="C16" s="12"/>
      <c r="D16" s="8"/>
      <c r="E16" s="8"/>
      <c r="F16" s="6"/>
      <c r="G16" s="6"/>
      <c r="K16" s="6"/>
    </row>
    <row r="17" spans="1:21" ht="14.25" customHeight="1">
      <c r="A17" s="147"/>
      <c r="B17" s="8"/>
      <c r="C17" s="27"/>
      <c r="D17" s="8"/>
      <c r="E17" s="8"/>
      <c r="F17" s="6"/>
      <c r="G17" s="6"/>
      <c r="K17" s="6"/>
    </row>
    <row r="18" spans="1:21" ht="16.5" customHeight="1">
      <c r="A18" s="217"/>
      <c r="B18" s="8"/>
      <c r="C18" s="8"/>
      <c r="E18" s="8"/>
      <c r="F18" s="6"/>
      <c r="G18" s="6"/>
      <c r="K18" s="6"/>
      <c r="L18" s="6"/>
      <c r="Q18" s="5" t="s">
        <v>694</v>
      </c>
      <c r="R18" s="5" t="s">
        <v>693</v>
      </c>
      <c r="S18" s="5">
        <v>1500</v>
      </c>
      <c r="T18" s="5">
        <v>2000</v>
      </c>
      <c r="U18" s="5">
        <v>3000</v>
      </c>
    </row>
    <row r="19" spans="1:21" ht="16.5" customHeight="1">
      <c r="A19" s="7"/>
      <c r="B19" s="8"/>
      <c r="C19" s="8"/>
      <c r="D19" s="13"/>
      <c r="E19" s="8"/>
      <c r="F19" s="6"/>
      <c r="G19" s="6"/>
      <c r="K19" s="6"/>
      <c r="P19" s="5">
        <v>1</v>
      </c>
      <c r="Q19" s="5">
        <f>R8</f>
        <v>-750</v>
      </c>
      <c r="R19" s="5" t="str">
        <f>IF(Q19&gt;=D4,1,"")</f>
        <v/>
      </c>
      <c r="S19" s="168" t="str">
        <f>IF(R19=1,1,"")</f>
        <v/>
      </c>
      <c r="T19" s="168"/>
      <c r="U19" s="168"/>
    </row>
    <row r="20" spans="1:21" ht="12.75" customHeight="1">
      <c r="A20" s="7"/>
      <c r="B20" s="8"/>
      <c r="C20" s="8"/>
      <c r="D20" s="8"/>
      <c r="E20" s="8"/>
      <c r="F20" s="6"/>
      <c r="G20" s="6"/>
      <c r="K20" s="3"/>
      <c r="P20" s="5">
        <v>2</v>
      </c>
      <c r="Q20" s="5">
        <f>S8</f>
        <v>-1000</v>
      </c>
      <c r="R20" s="5" t="str">
        <f>IF(Q20&gt;=D4,IF(R19=1,"",1),"")</f>
        <v/>
      </c>
      <c r="S20" s="168"/>
      <c r="T20" s="168" t="str">
        <f>IF(R20=1,1,"")</f>
        <v/>
      </c>
      <c r="U20" s="168"/>
    </row>
    <row r="21" spans="1:21" ht="12.75" customHeight="1">
      <c r="A21" s="499" t="s">
        <v>2954</v>
      </c>
      <c r="B21" s="496" t="s">
        <v>2953</v>
      </c>
      <c r="C21" s="496" t="s">
        <v>2955</v>
      </c>
      <c r="D21" s="8"/>
      <c r="E21" s="8"/>
      <c r="F21" s="6"/>
      <c r="G21" s="6"/>
      <c r="P21" s="5">
        <v>3</v>
      </c>
      <c r="Q21" s="5">
        <f>T8</f>
        <v>-1500</v>
      </c>
      <c r="R21" s="5" t="str">
        <f>IF(Q21&gt;=D4,IF(Q20&gt;=D4,"",1),"")</f>
        <v/>
      </c>
      <c r="U21" s="168" t="str">
        <f>IF(R21=1,1,"")</f>
        <v/>
      </c>
    </row>
    <row r="22" spans="1:21" ht="12.75" customHeight="1">
      <c r="A22" s="7"/>
      <c r="B22" s="8"/>
      <c r="C22" s="8"/>
      <c r="D22" s="8"/>
      <c r="E22" s="8"/>
      <c r="F22" s="6"/>
      <c r="G22" s="6"/>
      <c r="K22" s="5" t="str">
        <f>CONCATENATE(M22,"-",$O$7)</f>
        <v xml:space="preserve">1500-strieborná </v>
      </c>
      <c r="L22" s="6">
        <f>SUM(S19:S31)</f>
        <v>0</v>
      </c>
      <c r="M22" s="5">
        <v>1500</v>
      </c>
      <c r="O22" s="5" t="s">
        <v>652</v>
      </c>
      <c r="P22" s="167" t="s">
        <v>653</v>
      </c>
      <c r="Q22" s="5">
        <f>R8+S8</f>
        <v>-1750</v>
      </c>
      <c r="R22" s="5" t="str">
        <f>IF(Q22&gt;=D4,IF(SUM(R19:R21)&gt;0,"",1),"")</f>
        <v/>
      </c>
      <c r="S22" s="168" t="str">
        <f>IF(R22=1,1,"")</f>
        <v/>
      </c>
      <c r="T22" s="168" t="str">
        <f>IF(R22=1,1,"")</f>
        <v/>
      </c>
    </row>
    <row r="23" spans="1:21" ht="12.75" customHeight="1">
      <c r="A23" s="7"/>
      <c r="B23" s="8"/>
      <c r="D23" s="8"/>
      <c r="E23" s="8"/>
      <c r="F23" s="8"/>
      <c r="G23" s="131" t="str">
        <f>+System10!G25</f>
        <v>partnerská zľava:</v>
      </c>
      <c r="K23" s="5" t="str">
        <f>CONCATENATE(M23,"-",$O$7)</f>
        <v xml:space="preserve">2000-strieborná </v>
      </c>
      <c r="L23" s="6">
        <f>SUM(T19:T31)</f>
        <v>0</v>
      </c>
      <c r="M23" s="5">
        <v>2000</v>
      </c>
      <c r="P23" s="5" t="s">
        <v>689</v>
      </c>
      <c r="Q23" s="5">
        <f>S8+S8</f>
        <v>-2000</v>
      </c>
      <c r="R23" s="5" t="str">
        <f>IF(Q23&gt;=D4,IF(SUM(R19:R22)&gt;0,"",1),"")</f>
        <v/>
      </c>
      <c r="T23" s="168" t="str">
        <f>IF(R23=1,2,"")</f>
        <v/>
      </c>
    </row>
    <row r="24" spans="1:21" ht="12.75" customHeight="1">
      <c r="A24" s="14" t="str">
        <f>+System10!A26</f>
        <v>Objednávacie kódy, ceny:</v>
      </c>
      <c r="B24" s="8"/>
      <c r="D24" s="8"/>
      <c r="E24" s="8"/>
      <c r="F24" s="8"/>
      <c r="G24" s="143">
        <f>profil!C15</f>
        <v>0</v>
      </c>
      <c r="H24" s="28"/>
      <c r="K24" s="5" t="str">
        <f>CONCATENATE(M24,"-",$O$7)</f>
        <v xml:space="preserve">3000-strieborná </v>
      </c>
      <c r="L24" s="6">
        <f>SUM(U19:U31)</f>
        <v>0</v>
      </c>
      <c r="M24" s="5">
        <v>3000</v>
      </c>
      <c r="N24" s="165"/>
      <c r="P24" s="5" t="s">
        <v>654</v>
      </c>
      <c r="Q24" s="5">
        <f>R8+T8</f>
        <v>-2250</v>
      </c>
      <c r="R24" s="5" t="str">
        <f>IF(Q24&gt;=D4,IF(SUM(R19:R23)&gt;0,"",1),"")</f>
        <v/>
      </c>
      <c r="S24" s="168" t="str">
        <f>IF(R24=1,1,"")</f>
        <v/>
      </c>
      <c r="U24" s="168" t="str">
        <f>IF(R24=1,1,"")</f>
        <v/>
      </c>
    </row>
    <row r="25" spans="1:21" ht="12.75" customHeight="1">
      <c r="A25" s="7"/>
      <c r="B25" s="19" t="str">
        <f>+System10!B27</f>
        <v>kód</v>
      </c>
      <c r="C25" s="18" t="str">
        <f>+System10!C27</f>
        <v>názov</v>
      </c>
      <c r="D25" s="19" t="str">
        <f>+System10!D27</f>
        <v>ks</v>
      </c>
      <c r="E25" s="19" t="str">
        <f>+System10!E27</f>
        <v>cena/ks</v>
      </c>
      <c r="F25" s="19" t="str">
        <f>+System10!F27</f>
        <v>cena celkom</v>
      </c>
      <c r="G25" s="20" t="str">
        <f>+System10!G27</f>
        <v>celkom netto:</v>
      </c>
      <c r="I25" s="18" t="str">
        <f>texty!A29</f>
        <v>Poznámka:</v>
      </c>
      <c r="J25" s="18"/>
      <c r="K25" s="6"/>
      <c r="L25" s="5">
        <f>COUNT(L22,L23,L24)</f>
        <v>3</v>
      </c>
      <c r="M25" s="165"/>
      <c r="N25" s="165"/>
      <c r="P25" s="5" t="s">
        <v>655</v>
      </c>
      <c r="Q25" s="5">
        <f>S8+T8</f>
        <v>-2500</v>
      </c>
      <c r="R25" s="5" t="str">
        <f>IF(Q25&gt;=D4,IF(SUM(R19:R24)&gt;0,"",1),"")</f>
        <v/>
      </c>
      <c r="T25" s="168" t="str">
        <f>IF(R25=1,1,"")</f>
        <v/>
      </c>
      <c r="U25" s="168" t="str">
        <f>IF(R25=1,1,"")</f>
        <v/>
      </c>
    </row>
    <row r="26" spans="1:21" ht="12.75" customHeight="1">
      <c r="A26" s="7" t="str">
        <f>+System10!A28</f>
        <v>Horný profil:</v>
      </c>
      <c r="B26" s="16">
        <f>+VLOOKUP(N5,data!$C$226:$D$239,2,0)</f>
        <v>349796</v>
      </c>
      <c r="C26" s="25" t="str">
        <f>+VLOOKUP(B26,cennik!$A:$G,2,FALSE)</f>
        <v/>
      </c>
      <c r="D26" s="17">
        <v>1</v>
      </c>
      <c r="E26" s="92">
        <f>+VLOOKUP(B26,cennik!$A:$G,3,FALSE)</f>
        <v>14.659420000000001</v>
      </c>
      <c r="F26" s="92">
        <f t="shared" ref="F26:F30" si="1">+E26*D26</f>
        <v>14.659420000000001</v>
      </c>
      <c r="G26" s="93">
        <f t="shared" ref="G26:G30" si="2">+F26*(100-$G$24)/100</f>
        <v>14.659420000000001</v>
      </c>
      <c r="H26" s="6" t="str">
        <f>cennik!$B$2</f>
        <v>EUR</v>
      </c>
      <c r="I26" s="483" t="str">
        <f>IFERROR(IF((VLOOKUP(B26,cennik!A:L,12,0))="O",texty!$A$250,""),"")</f>
        <v>Na objednávku</v>
      </c>
      <c r="J26" s="196">
        <f>IF(D26&gt;0,IF(VLOOKUP(B26,cennik!A:L,12,FALSE)="O",1,""),"")</f>
        <v>1</v>
      </c>
      <c r="K26" s="6"/>
      <c r="L26" s="165"/>
      <c r="M26" s="165"/>
      <c r="N26" s="165"/>
      <c r="P26" s="5" t="s">
        <v>690</v>
      </c>
      <c r="Q26" s="5">
        <f>T8+T8</f>
        <v>-3000</v>
      </c>
      <c r="R26" s="5" t="str">
        <f>IF(Q26&gt;=D4,IF(SUM(R19:R25)&gt;0,"",1),"")</f>
        <v/>
      </c>
      <c r="U26" s="168" t="str">
        <f>IF(R26=1,2,"")</f>
        <v/>
      </c>
    </row>
    <row r="27" spans="1:21" ht="12.75" customHeight="1">
      <c r="A27" s="7" t="str">
        <f>+System10!A29</f>
        <v>spodný profil:</v>
      </c>
      <c r="B27" s="16">
        <f>+VLOOKUP(N5,data!$C$242:$D$255,2,0)</f>
        <v>349810</v>
      </c>
      <c r="C27" s="25" t="str">
        <f>+VLOOKUP(B27,cennik!$A:$G,2,FALSE)</f>
        <v/>
      </c>
      <c r="D27" s="17">
        <v>1</v>
      </c>
      <c r="E27" s="92">
        <f>+VLOOKUP(B27,cennik!$A:$G,3,FALSE)</f>
        <v>7.5749399999999998</v>
      </c>
      <c r="F27" s="92">
        <f t="shared" si="1"/>
        <v>7.5749399999999998</v>
      </c>
      <c r="G27" s="93">
        <f t="shared" si="2"/>
        <v>7.5749400000000007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K27" s="6" t="s">
        <v>656</v>
      </c>
      <c r="L27" s="5" t="str">
        <f>IF(L22=0,IF(L23=0,K24,K23),K22)</f>
        <v xml:space="preserve">3000-strieborná </v>
      </c>
      <c r="M27" s="165">
        <f>IF(L27=K22,L22,IF(L27=K23,L23,IF(L27=K24,L24,"chyba")))</f>
        <v>0</v>
      </c>
      <c r="N27" s="165"/>
      <c r="O27" s="165"/>
      <c r="P27" s="5" t="s">
        <v>691</v>
      </c>
      <c r="Q27" s="5">
        <f>R8+R8+R8</f>
        <v>-2250</v>
      </c>
      <c r="R27" s="5" t="str">
        <f>IF(Q27&gt;=D4,IF(SUM(R19:R26)&gt;0,"",1),"")</f>
        <v/>
      </c>
      <c r="S27" s="168" t="str">
        <f>IF(R27=1,3,"")</f>
        <v/>
      </c>
    </row>
    <row r="28" spans="1:21" ht="12.75" customHeight="1">
      <c r="A28" s="7" t="str">
        <f>texty!$A$210</f>
        <v>záslepko spodného vedenia</v>
      </c>
      <c r="B28" s="16">
        <v>216362</v>
      </c>
      <c r="C28" s="25" t="str">
        <f>+VLOOKUP(B28,cennik!$A:$G,2,FALSE)</f>
        <v>SEVROLL záslepka spodného vedenia Simple</v>
      </c>
      <c r="D28" s="17">
        <f>CEILING(C4/1000,1)</f>
        <v>0</v>
      </c>
      <c r="E28" s="92">
        <f>+VLOOKUP(B28,cennik!$A:$G,3,FALSE)</f>
        <v>1.1716599999999999</v>
      </c>
      <c r="F28" s="92">
        <f t="shared" si="1"/>
        <v>0</v>
      </c>
      <c r="G28" s="93">
        <f t="shared" si="2"/>
        <v>0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K28" s="6"/>
      <c r="M28" s="165"/>
      <c r="N28" s="165"/>
      <c r="O28" s="165"/>
      <c r="S28" s="168"/>
    </row>
    <row r="29" spans="1:21" ht="12.75" customHeight="1">
      <c r="A29" s="7" t="str">
        <f>+System10!A31</f>
        <v>horné vozíky (sady)</v>
      </c>
      <c r="B29" s="16">
        <v>349734</v>
      </c>
      <c r="C29" s="25" t="str">
        <f>+VLOOKUP(B29,cennik!$A:$G,2,FALSE)</f>
        <v>SEV-horný vozík Blue(18mm)bezrámový (L+P)</v>
      </c>
      <c r="D29" s="17">
        <f>+D4</f>
        <v>4</v>
      </c>
      <c r="E29" s="92">
        <f>+VLOOKUP(B29,cennik!$A:$G,3,FALSE)</f>
        <v>3.8147199999999999</v>
      </c>
      <c r="F29" s="92">
        <f t="shared" si="1"/>
        <v>15.25888</v>
      </c>
      <c r="G29" s="93">
        <f t="shared" si="2"/>
        <v>15.25888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K29" s="6" t="s">
        <v>657</v>
      </c>
      <c r="L29" s="5" t="str">
        <f>IF(L27=K24,"jiné",IF(L27=K22,IF(L23&lt;&gt;0,K23,IF(L24&lt;&gt;0,K24,"jiné")),IF(L24&lt;&gt;0,K24,"jiné")))</f>
        <v>jiné</v>
      </c>
      <c r="M29" s="165">
        <f>IF(L29=K23,L23,IF(L29=K24,L24,IF(L29=K25,L25,0)))</f>
        <v>0</v>
      </c>
      <c r="N29" s="165"/>
      <c r="O29" s="165"/>
      <c r="P29" s="5" t="s">
        <v>658</v>
      </c>
      <c r="Q29" s="5">
        <f>R8+2*S8</f>
        <v>-2750</v>
      </c>
      <c r="R29" s="5" t="str">
        <f>IF(Q29&gt;=D4,IF(SUM(R19:R27)&gt;0,"",1),"")</f>
        <v/>
      </c>
      <c r="S29" s="168" t="str">
        <f>IF(R29=1,1,"")</f>
        <v/>
      </c>
      <c r="T29" s="168" t="str">
        <f>IF(R29=1,2,"")</f>
        <v/>
      </c>
    </row>
    <row r="30" spans="1:21" ht="12.75" customHeight="1">
      <c r="A30" s="7" t="str">
        <f>+System10!A32</f>
        <v>spodné vozíky (sada)</v>
      </c>
      <c r="B30" s="16">
        <v>349735</v>
      </c>
      <c r="C30" s="25" t="str">
        <f>+VLOOKUP(B30,cennik!$A:$G,2,FALSE)</f>
        <v>SEVROLL spodný vozík Blue V (bezrámový pre 1</v>
      </c>
      <c r="D30" s="17">
        <f>+D4</f>
        <v>4</v>
      </c>
      <c r="E30" s="92">
        <f>+VLOOKUP(B30,cennik!$A:$G,3,FALSE)</f>
        <v>5.3133600000000003</v>
      </c>
      <c r="F30" s="92">
        <f t="shared" si="1"/>
        <v>21.253440000000001</v>
      </c>
      <c r="G30" s="93">
        <f t="shared" si="2"/>
        <v>21.253440000000001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6"/>
      <c r="L30" s="165"/>
      <c r="M30" s="165"/>
      <c r="N30" s="165"/>
      <c r="O30" s="165"/>
      <c r="P30" s="5" t="s">
        <v>692</v>
      </c>
      <c r="Q30" s="5">
        <f>S8+S8+S8</f>
        <v>-3000</v>
      </c>
      <c r="R30" s="5" t="str">
        <f>IF(Q30&gt;=D4,IF(SUM(R19:R29)&gt;0,"",1),"")</f>
        <v/>
      </c>
      <c r="T30" s="168" t="str">
        <f>IF(R30=1,3,"")</f>
        <v/>
      </c>
    </row>
    <row r="31" spans="1:21" ht="12.75" customHeight="1">
      <c r="A31" s="7" t="str">
        <f>+System10!A33</f>
        <v>dorazový kartáč</v>
      </c>
      <c r="B31" s="16">
        <v>98067</v>
      </c>
      <c r="C31" s="25" t="str">
        <f>+VLOOKUP(B31,cennik!$A:$G,2,FALSE)</f>
        <v>SEVROLL dorazový kartáč zásuvný 14,5x4mm</v>
      </c>
      <c r="D31" s="17">
        <f>CEILING((B4*D4*2/1000),1)</f>
        <v>0</v>
      </c>
      <c r="E31" s="92">
        <f>+VLOOKUP(B31,cennik!$A:$G,3,FALSE)</f>
        <v>0.17649000000000001</v>
      </c>
      <c r="F31" s="92">
        <f>+E31*D31</f>
        <v>0</v>
      </c>
      <c r="G31" s="93">
        <f>+F31*(100-$G$24)/100</f>
        <v>0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 t="str">
        <f>CONCATENATE(3000,"-",E4)</f>
        <v xml:space="preserve">3000-strieborná </v>
      </c>
      <c r="L31" s="165"/>
      <c r="M31" s="165"/>
      <c r="N31" s="165"/>
      <c r="O31" s="165"/>
      <c r="P31" s="5" t="s">
        <v>659</v>
      </c>
      <c r="Q31" s="5">
        <f>R8+2*T8</f>
        <v>-3750</v>
      </c>
      <c r="R31" s="5" t="str">
        <f>IF(Q31&gt;=D4,IF(SUM(R19:R30)&gt;0,"",1),"")</f>
        <v/>
      </c>
      <c r="S31" s="168" t="str">
        <f>IF(R31=1,1,"")</f>
        <v/>
      </c>
      <c r="U31" s="168" t="str">
        <f>IF(R31=1,2,"")</f>
        <v/>
      </c>
    </row>
    <row r="32" spans="1:21" ht="12.75" customHeight="1">
      <c r="A32" s="7" t="str">
        <f>+System10!A34</f>
        <v>úchytková lišta</v>
      </c>
      <c r="B32" s="16">
        <f>+VLOOKUP(O7,data!$C$448:$D$450,2,0)</f>
        <v>349474</v>
      </c>
      <c r="C32" s="25" t="str">
        <f>+VLOOKUP(B32,cennik!$A:$G,2,FALSE)</f>
        <v>SEVROLL Era úchytová lišta 18mm 2,70m strieborná</v>
      </c>
      <c r="D32" s="17">
        <f>IF(B11&lt;=1347,D4*2/2,D4*2)</f>
        <v>4</v>
      </c>
      <c r="E32" s="92">
        <f>+VLOOKUP(B32,cennik!$A:$G,3,FALSE)</f>
        <v>15.504110000000001</v>
      </c>
      <c r="F32" s="92">
        <f>+E32*D32</f>
        <v>62.016440000000003</v>
      </c>
      <c r="G32" s="93">
        <f>+F32*(100-$G$24)/100</f>
        <v>62.016440000000003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3" t="s">
        <v>988</v>
      </c>
    </row>
    <row r="33" spans="1:11" ht="12.75" customHeight="1">
      <c r="A33" s="7"/>
      <c r="B33" s="6"/>
      <c r="C33" s="25"/>
      <c r="D33" s="17"/>
      <c r="E33" s="92"/>
      <c r="F33" s="92"/>
      <c r="G33" s="93"/>
      <c r="I33" s="483" t="str">
        <f>IFERROR(IF((VLOOKUP(B33,cennik!A:L,12,0))="O",texty!$A$250,""),"")</f>
        <v/>
      </c>
      <c r="J33" s="196"/>
      <c r="K33" s="162">
        <f>(C10*D4)+(D4-1)*5</f>
        <v>-13</v>
      </c>
    </row>
    <row r="34" spans="1:11" ht="12.75" customHeight="1">
      <c r="A34" s="14" t="str">
        <f>texty!$A$66</f>
        <v>Voliteľné príslušenstvo:</v>
      </c>
      <c r="B34" s="15"/>
      <c r="D34" s="26" t="str">
        <f>System10!$D$41</f>
        <v>zadajte počet:</v>
      </c>
      <c r="E34" s="96"/>
      <c r="F34" s="96"/>
      <c r="G34" s="95"/>
      <c r="I34" s="483" t="str">
        <f>IFERROR(IF((VLOOKUP(B34,cennik!A:L,12,0))="O",texty!$A$250,""),"")</f>
        <v/>
      </c>
      <c r="J34" s="196"/>
      <c r="K34" s="3"/>
    </row>
    <row r="35" spans="1:11" ht="12.75" customHeight="1">
      <c r="A35" s="7" t="str">
        <f>texty!$A$88</f>
        <v>pozicionér do horného vedenia</v>
      </c>
      <c r="B35" s="15">
        <v>298035</v>
      </c>
      <c r="C35" s="25" t="str">
        <f>+VLOOKUP(B35,cennik!$A:$G,2,FALSE)</f>
        <v>SEVROLL Fix pozicionér pre horný vozík tran.</v>
      </c>
      <c r="D35" s="29"/>
      <c r="E35" s="92">
        <f>+VLOOKUP(B35,cennik!$A:$G,3,FALSE)</f>
        <v>1.0605800000000001</v>
      </c>
      <c r="F35" s="97">
        <f t="shared" ref="F35" si="3">+CEILING(D35,1)*E35</f>
        <v>0</v>
      </c>
      <c r="G35" s="93">
        <f t="shared" ref="G35" si="4">+F35*(100-$G$24)/100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3">
        <f>+System10!L22</f>
        <v>0</v>
      </c>
    </row>
    <row r="36" spans="1:11" ht="12.75" customHeight="1">
      <c r="A36" s="7" t="str">
        <f>texty!A87</f>
        <v>pozicionér</v>
      </c>
      <c r="B36" s="211">
        <v>229681</v>
      </c>
      <c r="C36" s="25" t="str">
        <f>+VLOOKUP(B36,cennik!$A:$G,2,FALSE)</f>
        <v>SEVROLL Simple pozicionér pre spodný vozík</v>
      </c>
      <c r="D36" s="29"/>
      <c r="E36" s="92">
        <f>+VLOOKUP(B36,cennik!$A:$G,3,FALSE)</f>
        <v>0.40872000000000003</v>
      </c>
      <c r="F36" s="92">
        <f>+E36*D36</f>
        <v>0</v>
      </c>
      <c r="G36" s="93">
        <f>+F36*(100-$G$24)/100</f>
        <v>0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/>
    </row>
    <row r="37" spans="1:11" ht="12.75" customHeight="1">
      <c r="A37" s="7" t="str">
        <f>texty!A179</f>
        <v>skrutka k spodnémi vedeniu</v>
      </c>
      <c r="B37" s="15">
        <v>98019</v>
      </c>
      <c r="C37" s="25" t="str">
        <f>+VLOOKUP(B37,cennik!$A:$G,2,FALSE)</f>
        <v>SEVROLL-skrutka 2,5*18MM</v>
      </c>
      <c r="D37" s="29"/>
      <c r="E37" s="92">
        <f>+VLOOKUP(B37,cennik!$A:$G,3,FALSE)</f>
        <v>2.8680000000000001E-2</v>
      </c>
      <c r="F37" s="97">
        <f>+CEILING(D37,1)*E37</f>
        <v>0</v>
      </c>
      <c r="G37" s="93">
        <f>+F37*(100-$G$20)/100</f>
        <v>0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3" t="str">
        <f>+System10!L24</f>
        <v xml:space="preserve">1700-strieborná </v>
      </c>
    </row>
    <row r="38" spans="1:11" ht="12.75" customHeight="1">
      <c r="A38" s="7" t="str">
        <f>texty!$A$204</f>
        <v>spojovací H25 profil Simple (18mm)</v>
      </c>
      <c r="B38" s="16">
        <f>+VLOOKUP(O7,data!$C$408:$D$410,2,0)</f>
        <v>336796</v>
      </c>
      <c r="C38" s="25" t="str">
        <f>+VLOOKUP(B38,cennik!$A:$G,2,FALSE)</f>
        <v>SEVROLL spoj.lišta Simple H21 3m(18mm) str.</v>
      </c>
      <c r="D38" s="30"/>
      <c r="E38" s="92">
        <f>+VLOOKUP(B38,cennik!$A:$G,3,FALSE)</f>
        <v>13.24253</v>
      </c>
      <c r="F38" s="92">
        <f>+E38*D38</f>
        <v>0</v>
      </c>
      <c r="G38" s="93">
        <f>+F38*(100-$G$24)/100</f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/>
    </row>
    <row r="39" spans="1:11" ht="12.75" customHeight="1">
      <c r="A39" s="7" t="str">
        <f>texty!$A$205</f>
        <v>spojovací H31 profil Simple (18mm)</v>
      </c>
      <c r="B39" s="16">
        <f>+VLOOKUP(O7,data!$C$411:$D$413,2,0)</f>
        <v>328825</v>
      </c>
      <c r="C39" s="25" t="str">
        <f>+VLOOKUP(B39,cennik!$A:$G,2,FALSE)</f>
        <v>SEVROLL spojovacia lišta Simple / Blue H28 3m (18mm) strieborná</v>
      </c>
      <c r="D39" s="30"/>
      <c r="E39" s="92">
        <f>+VLOOKUP(B39,cennik!$A:$G,3,FALSE)</f>
        <v>22.997309999999999</v>
      </c>
      <c r="F39" s="92">
        <f>+E39*D39</f>
        <v>0</v>
      </c>
      <c r="G39" s="93">
        <f>+F39*(100-$G$24)/100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11" ht="12.75" customHeight="1">
      <c r="A40" s="436" t="str">
        <f>texty!$A$228</f>
        <v> Tlmič dorazu MINI do 25 kg (pár)</v>
      </c>
      <c r="B40" s="16">
        <v>318662</v>
      </c>
      <c r="C40" s="25" t="str">
        <f>+VLOOKUP(B40,cennik!$A:$G,2,FALSE)</f>
        <v>SEVROLL tlmič dorazu Mini SV25 - 2ks</v>
      </c>
      <c r="D40" s="29"/>
      <c r="E40" s="92">
        <f>+VLOOKUP(B40,cennik!$A:$G,3,FALSE)</f>
        <v>22.368510000000001</v>
      </c>
      <c r="F40" s="97">
        <f>+CEILING(D40,1)*E40</f>
        <v>0</v>
      </c>
      <c r="G40" s="93">
        <f t="shared" ref="G40:G43" si="5">+F40*(100-$G$24)/100</f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11" ht="12.75" customHeight="1">
      <c r="A41" s="436" t="str">
        <f>texty!$A$229</f>
        <v> Tlmič dorazu MINI do 40 kg (pár)</v>
      </c>
      <c r="B41" s="24">
        <v>283956</v>
      </c>
      <c r="C41" s="25" t="str">
        <f>+VLOOKUP(B41,cennik!$A:$G,2,FALSE)</f>
        <v>SEVROLL tlmič dorazu Mini SV40 - 2ks</v>
      </c>
      <c r="D41" s="29"/>
      <c r="E41" s="92">
        <f>+VLOOKUP(B41,cennik!$A:$G,3,FALSE)</f>
        <v>22.368510000000001</v>
      </c>
      <c r="F41" s="97">
        <f>+CEILING(D41,1)*E41</f>
        <v>0</v>
      </c>
      <c r="G41" s="93">
        <f t="shared" si="5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/>
    </row>
    <row r="42" spans="1:11" ht="12.75" customHeight="1">
      <c r="A42" s="436" t="str">
        <f>texty!$A$231</f>
        <v> Tlmič pre stredné krídlo do 25 kg</v>
      </c>
      <c r="B42" s="24">
        <v>318663</v>
      </c>
      <c r="C42" s="25" t="str">
        <f>+VLOOKUP(B42,cennik!$A:$G,2,FALSE)</f>
        <v>SEVROLL tlmič Central 10/18mm obojst. 25 kg</v>
      </c>
      <c r="D42" s="29"/>
      <c r="E42" s="92">
        <f>+VLOOKUP(B42,cennik!$A:$G,3,FALSE)</f>
        <v>47.918750000000003</v>
      </c>
      <c r="F42" s="97">
        <f>+CEILING(D42,1)*E42</f>
        <v>0</v>
      </c>
      <c r="G42" s="93">
        <f t="shared" si="5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3"/>
    </row>
    <row r="43" spans="1:11" ht="12.75" customHeight="1">
      <c r="A43" s="436" t="str">
        <f>texty!$A$232</f>
        <v> Tlmič pre stredné krídlo do 40 kg</v>
      </c>
      <c r="B43" s="24">
        <v>283955</v>
      </c>
      <c r="C43" s="25" t="str">
        <f>+VLOOKUP(B43,cennik!$A:$G,2,FALSE)</f>
        <v>SEVROLL tlmič Central 10/18mm obojst.25-40kg</v>
      </c>
      <c r="D43" s="29"/>
      <c r="E43" s="92">
        <f>+VLOOKUP(B43,cennik!$A:$G,3,FALSE)</f>
        <v>47.918750000000003</v>
      </c>
      <c r="F43" s="97">
        <f>+CEILING(D43,1)*E43</f>
        <v>0</v>
      </c>
      <c r="G43" s="93">
        <f t="shared" si="5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6"/>
    </row>
    <row r="44" spans="1:11" ht="12.75" customHeight="1">
      <c r="A44" s="7" t="str">
        <f>texty!$A$90</f>
        <v>protiprachový kartáč</v>
      </c>
      <c r="B44" s="16">
        <v>305348</v>
      </c>
      <c r="C44" s="25" t="str">
        <f>+VLOOKUP(B44,cennik!$A:$G,2,FALSE)</f>
        <v>SEVROLL dorazový kartáč zásuvný 4,8x9mm</v>
      </c>
      <c r="D44" s="30"/>
      <c r="E44" s="92">
        <f>+VLOOKUP(B44,cennik!$A:$G,3,FALSE)</f>
        <v>0.27248</v>
      </c>
      <c r="F44" s="92">
        <f>+E44*D44</f>
        <v>0</v>
      </c>
      <c r="G44" s="93">
        <f>+F44*(100-$G$24)/100</f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6"/>
    </row>
    <row r="45" spans="1:11" ht="12.75" customHeight="1">
      <c r="A45" s="146" t="str">
        <f>texty!$A$119</f>
        <v>uholník mini 11x17mm - 1,7m</v>
      </c>
      <c r="B45" s="6">
        <f>+VLOOKUP($O$7,data!$C$513:$D$522,2,0)</f>
        <v>89134</v>
      </c>
      <c r="C45" s="38" t="str">
        <f>IF(B45=data!$D$54,texty!$A$239,+VLOOKUP(B45,cennik!$A$3:$G$907,2,FALSE))</f>
        <v>SEVROLL-182 UHOLNÍK 17*11 STRIEBOR. 1,7M</v>
      </c>
      <c r="D45" s="29"/>
      <c r="E45" s="92">
        <f>IF(B45=data!$D$63,0,+VLOOKUP(B45,cennik!$A$3:$G$907,3,FALSE))</f>
        <v>2.5309200000000001</v>
      </c>
      <c r="F45" s="92">
        <f>+E45*D45</f>
        <v>0</v>
      </c>
      <c r="G45" s="105">
        <f t="shared" ref="G45:G51" si="6">+F45*(100-$G$22)/100</f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196"/>
    </row>
    <row r="46" spans="1:11" ht="12.75" customHeight="1">
      <c r="A46" s="146" t="str">
        <f>texty!$A$120</f>
        <v>uholník mini 11x17mm - 2,35m</v>
      </c>
      <c r="B46" s="6">
        <f>+VLOOKUP($O$7,data!$C$523:$D$532,2,0)</f>
        <v>89137</v>
      </c>
      <c r="C46" s="38" t="str">
        <f>IF(B46=data!$D$54,texty!$A$239,+VLOOKUP(B46,cennik!$A$3:$G$907,2,FALSE))</f>
        <v>SEVROLL-183 UHOLNÍK 17*11 STRIEBOR. 2,35</v>
      </c>
      <c r="D46" s="29"/>
      <c r="E46" s="92">
        <f>IF(B46=data!$D$63,0,+VLOOKUP(B46,cennik!$A$3:$G$907,3,FALSE))</f>
        <v>3.5673900000000001</v>
      </c>
      <c r="F46" s="92">
        <f>+E46*D46</f>
        <v>0</v>
      </c>
      <c r="G46" s="105">
        <f t="shared" si="6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196"/>
    </row>
    <row r="47" spans="1:11" ht="12.75" customHeight="1">
      <c r="A47" s="146" t="str">
        <f>texty!$A$121</f>
        <v>uholník mini 11x17mm - 3m</v>
      </c>
      <c r="B47" s="15">
        <f>+VLOOKUP($O$7,data!$C$533:$D$542,2,0)</f>
        <v>89140</v>
      </c>
      <c r="C47" s="38" t="str">
        <f>IF(B47=data!$D$54,texty!$A$239,+VLOOKUP(B47,cennik!$A$3:$G$907,2,FALSE))</f>
        <v>SEVROLL-184 UHOLNÍK 17*11 STRIEBOR. 3M</v>
      </c>
      <c r="D47" s="29"/>
      <c r="E47" s="92">
        <f>IF(B47=data!$D$63,0,+VLOOKUP(B47,cennik!$A$3:$G$907,3,FALSE))</f>
        <v>4.4833400000000001</v>
      </c>
      <c r="F47" s="92">
        <f>+E47*D47</f>
        <v>0</v>
      </c>
      <c r="G47" s="105">
        <f t="shared" si="6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196"/>
    </row>
    <row r="48" spans="1:11" ht="12.75" customHeight="1">
      <c r="A48" s="146" t="str">
        <f>texty!$A$122</f>
        <v>uholník K2 19x18mm - 1,7m</v>
      </c>
      <c r="B48" s="24">
        <f>+VLOOKUP($O$7,data!$C$543:$D$552,2,0)</f>
        <v>89050</v>
      </c>
      <c r="C48" s="38" t="str">
        <f>IF(B48=data!$D$54,texty!$A$239,+VLOOKUP(B48,cennik!$A$3:$G$907,2,FALSE))</f>
        <v>SEVROLL-278 UHOLNÍK K2 1,70M STRIEBORNÁ</v>
      </c>
      <c r="D48" s="29"/>
      <c r="E48" s="92">
        <f>IF(B48=data!$D$63,0,+VLOOKUP(B48,cennik!$A$3:$G$907,3,FALSE))</f>
        <v>3.7843300000000002</v>
      </c>
      <c r="F48" s="92">
        <f>+E48*D48</f>
        <v>0</v>
      </c>
      <c r="G48" s="105">
        <f t="shared" si="6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196"/>
    </row>
    <row r="49" spans="1:13" ht="12.75" customHeight="1">
      <c r="A49" s="146" t="str">
        <f>texty!$A$123</f>
        <v>uholník K2 19x18mm - 2,35m</v>
      </c>
      <c r="B49" s="16">
        <f>+VLOOKUP($O$7,data!$C$553:$D$562,2,0)</f>
        <v>89053</v>
      </c>
      <c r="C49" s="38" t="str">
        <f>IF(B49=data!$D$54,texty!$A$239,+VLOOKUP(B49,cennik!$A$3:$G$907,2,FALSE))</f>
        <v>SEVROLL uholník K2 Decor 2,35m strieborná</v>
      </c>
      <c r="D49" s="30"/>
      <c r="E49" s="92">
        <f>IF(B49=data!$D$63,0,+VLOOKUP(B49,cennik!$A$3:$G$907,3,FALSE))</f>
        <v>5.25467</v>
      </c>
      <c r="F49" s="92">
        <f t="shared" ref="F49:F51" si="7">+E49*D49</f>
        <v>0</v>
      </c>
      <c r="G49" s="105">
        <f t="shared" si="6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196"/>
    </row>
    <row r="50" spans="1:13" ht="12.75" customHeight="1">
      <c r="A50" s="146" t="str">
        <f>texty!$A$124</f>
        <v>uholník K2 19x18mm - 3,00m</v>
      </c>
      <c r="B50" s="16">
        <f>+VLOOKUP($O$7,data!$C$563:$D$572,2,0)</f>
        <v>89056</v>
      </c>
      <c r="C50" s="38" t="str">
        <f>IF(B50=data!$D$54,texty!$A$239,+VLOOKUP(B50,cennik!$A$3:$G$907,2,FALSE))</f>
        <v>SEVROLL uholník K2 Decor 3m strieborná</v>
      </c>
      <c r="D50" s="30"/>
      <c r="E50" s="92">
        <f>IF(B50=data!$D$63,0,+VLOOKUP(B50,cennik!$A$3:$G$907,3,FALSE))</f>
        <v>6.7009100000000004</v>
      </c>
      <c r="F50" s="92">
        <f t="shared" si="7"/>
        <v>0</v>
      </c>
      <c r="G50" s="105">
        <f t="shared" si="6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196"/>
    </row>
    <row r="51" spans="1:13" ht="12.75" customHeight="1">
      <c r="A51" s="146" t="str">
        <f>texty!$A$241</f>
        <v>klínok pre dilatáciu výplne 16mm</v>
      </c>
      <c r="B51" s="16">
        <v>308631</v>
      </c>
      <c r="C51" s="38" t="str">
        <f>+VLOOKUP(B51,cennik!$A:$G,2,FALSE)</f>
        <v>SEVROLL klin pre lamino (100 ks) tl. 2mm</v>
      </c>
      <c r="D51" s="29"/>
      <c r="E51" s="219">
        <f>+VLOOKUP(B51,cennik!$A:$G,3,FALSE)</f>
        <v>9.0389999999999997</v>
      </c>
      <c r="F51" s="106">
        <f t="shared" si="7"/>
        <v>0</v>
      </c>
      <c r="G51" s="105">
        <f t="shared" si="6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196"/>
    </row>
    <row r="52" spans="1:13" ht="12.75" customHeight="1">
      <c r="A52" s="436" t="str">
        <f>texty!$A$240</f>
        <v>zámok posuvných dverí</v>
      </c>
      <c r="B52" s="24">
        <v>216363</v>
      </c>
      <c r="C52" s="38" t="str">
        <f>+VLOOKUP(B52,cennik!$A:$G,2,FALSE)</f>
        <v>SEVROLL zámok na posuvné dvere 18 mm</v>
      </c>
      <c r="D52" s="29"/>
      <c r="E52" s="219">
        <f>+VLOOKUP(B52,cennik!$A:$G,3,FALSE)</f>
        <v>17.186150000000001</v>
      </c>
      <c r="F52" s="106">
        <f>+E52*D52</f>
        <v>0</v>
      </c>
      <c r="G52" s="105">
        <f>+F52*(100-$G$22)/100</f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196"/>
    </row>
    <row r="53" spans="1:13" ht="12.75" customHeight="1">
      <c r="H53" s="5"/>
      <c r="I53" s="5"/>
      <c r="J53" s="196"/>
      <c r="K53" s="196"/>
    </row>
    <row r="54" spans="1:13" ht="12.75" customHeight="1">
      <c r="A54" s="7"/>
      <c r="B54" s="17"/>
      <c r="C54" s="25"/>
      <c r="E54" s="92"/>
      <c r="F54" s="97"/>
      <c r="G54" s="93"/>
      <c r="I54" s="186"/>
      <c r="J54" s="186"/>
      <c r="K54" s="3"/>
    </row>
    <row r="55" spans="1:13" ht="16">
      <c r="A55" s="285" t="str">
        <f>texty!$A$190</f>
        <v>Ďalšie príslušenstvo</v>
      </c>
      <c r="E55" s="95"/>
      <c r="F55" s="95"/>
      <c r="G55" s="95"/>
      <c r="I55" s="186"/>
      <c r="J55" s="186"/>
      <c r="K55" s="6"/>
    </row>
    <row r="56" spans="1:13" ht="12.75" customHeight="1">
      <c r="A56" s="285" t="str">
        <f>texty!$A$244</f>
        <v>Technický nákres tohoto systému</v>
      </c>
      <c r="B56" s="8"/>
      <c r="C56" s="8"/>
      <c r="D56" s="77" t="str">
        <f>texty!$A$15</f>
        <v>CELKOM  (bez DPH)</v>
      </c>
      <c r="E56" s="100"/>
      <c r="F56" s="102">
        <f>SUM(F26:F55)</f>
        <v>120.76312</v>
      </c>
      <c r="G56" s="102">
        <f>SUM(G26:G55)</f>
        <v>120.76312</v>
      </c>
      <c r="H56" s="6" t="str">
        <f>cennik!$B$2</f>
        <v>EUR</v>
      </c>
      <c r="I56" s="186"/>
      <c r="J56" s="186"/>
      <c r="K56" s="5" t="str">
        <f>texty!A128</f>
        <v xml:space="preserve">strieborná </v>
      </c>
    </row>
    <row r="57" spans="1:13" ht="12.75" customHeight="1">
      <c r="A57" s="76" t="str">
        <f>System10!$A$67</f>
        <v>Vaša poznámka:</v>
      </c>
      <c r="B57" s="665"/>
      <c r="C57" s="666"/>
      <c r="D57" s="666"/>
      <c r="E57" s="666"/>
      <c r="F57" s="666"/>
      <c r="G57" s="666"/>
      <c r="K57" s="5" t="str">
        <f>texty!A130</f>
        <v>oliva</v>
      </c>
    </row>
    <row r="58" spans="1:13" ht="12.75" customHeight="1">
      <c r="A58" s="657">
        <f>profil!$U$15</f>
        <v>0</v>
      </c>
      <c r="B58" s="658"/>
      <c r="C58" s="658"/>
      <c r="D58" s="658"/>
      <c r="E58" s="658"/>
      <c r="F58" s="658"/>
      <c r="G58" s="658"/>
      <c r="K58" s="5" t="str">
        <f>data!$J$15</f>
        <v>biela lesk</v>
      </c>
    </row>
    <row r="59" spans="1:13" ht="12.75" customHeight="1">
      <c r="A59" s="659" t="str">
        <f>IF(M59=1,texty!$A$215,IF(J59&gt;0,texty!$A$214,""))</f>
        <v>některé položky sú na objednávku, počítajte prosím s dodaciou  lehotou  do 5 týždnov</v>
      </c>
      <c r="B59" s="659"/>
      <c r="C59" s="659"/>
      <c r="D59" s="659"/>
      <c r="E59" s="659"/>
      <c r="F59" s="659"/>
      <c r="G59" s="659"/>
      <c r="J59" s="6">
        <f>SUM(J26:J55)</f>
        <v>2</v>
      </c>
      <c r="M59" s="5">
        <f>IF(ISERROR(J59),1,0)</f>
        <v>0</v>
      </c>
    </row>
    <row r="72" spans="1:1" ht="12.75" hidden="1" customHeight="1">
      <c r="A72" s="5">
        <v>3</v>
      </c>
    </row>
  </sheetData>
  <sheetProtection algorithmName="SHA-512" hashValue="5uqCUh6LWt5U5Qga/N0Ti5KXpKKT0Atxt36OKiY94B4d0N4erQbh8wmlXT3KBsZcrukPUWlnpdalfnaIoqiwjA==" saltValue="5KnIp7ecI5NdADrjjFHFiQ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44">
    <cfRule type="expression" dxfId="27" priority="8" stopIfTrue="1">
      <formula>IF(#REF!&gt;0,IF(#REF!=0,1,0),0)</formula>
    </cfRule>
  </conditionalFormatting>
  <conditionalFormatting sqref="D6">
    <cfRule type="expression" dxfId="26" priority="6">
      <formula>$D$4=4</formula>
    </cfRule>
    <cfRule type="expression" dxfId="25" priority="7">
      <formula>$D$4&lt;&gt;4</formula>
    </cfRule>
  </conditionalFormatting>
  <conditionalFormatting sqref="F4:I6">
    <cfRule type="expression" dxfId="24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$K$56:$K$58</formula1>
    </dataValidation>
    <dataValidation type="list" allowBlank="1" showInputMessage="1" showErrorMessage="1" sqref="E5:E6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DAC333-961D-4554-8A8C-560539DC4EAB}">
            <xm:f>$I26=texty!$A$250</xm:f>
            <x14:dxf>
              <font>
                <color rgb="FFFF0000"/>
              </font>
            </x14:dxf>
          </x14:cfRule>
          <xm:sqref>I26:I52</xm:sqref>
        </x14:conditionalFormatting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A26:H52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7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6.83203125" style="5" customWidth="1"/>
    <col min="2" max="2" width="15.83203125" style="5" customWidth="1"/>
    <col min="3" max="3" width="55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2.8320312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-8.75</v>
      </c>
    </row>
    <row r="2" spans="1:21" ht="18.75" customHeight="1">
      <c r="A2" s="538" t="s">
        <v>1538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",5,".",83)</f>
        <v>katalóg kovania 2018 str. 5.83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25.5" customHeight="1">
      <c r="A4" s="10" t="str">
        <f>+System10!A4</f>
        <v>VNÚTORNÝ ROZMER SKRINE:</v>
      </c>
      <c r="B4" s="56"/>
      <c r="C4" s="56"/>
      <c r="D4" s="22">
        <v>4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/>
      <c r="D6" s="299">
        <v>2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texty!A47</f>
        <v>krídlo dverí:</v>
      </c>
      <c r="B7" s="57">
        <f>+B4-40-IF(D40+D41+D42+D43&gt;0,5,0)</f>
        <v>-40</v>
      </c>
      <c r="C7" s="59">
        <f>+((C4-3+30*(D4-1))/D4+IF(AND(D4=4,D6=2),L1,0))</f>
        <v>13</v>
      </c>
      <c r="D7" s="8"/>
      <c r="E7" s="8"/>
      <c r="F7" s="3" t="str">
        <f>texty!$A$44</f>
        <v>Maximálna hmotnosť krídla je 35 kg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texty!$A$48</f>
        <v>rozmer výplne 18mm:</v>
      </c>
      <c r="B8" s="57">
        <f>+B7-1</f>
        <v>-41</v>
      </c>
      <c r="C8" s="59">
        <f>+C7-37</f>
        <v>-24</v>
      </c>
      <c r="D8" s="8"/>
      <c r="E8" s="8"/>
      <c r="F8" s="50"/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-5</v>
      </c>
      <c r="R8" s="5">
        <f>FLOOR(1500/Q8,1)</f>
        <v>-300</v>
      </c>
      <c r="S8" s="5">
        <f>FLOOR(2000/Q8,1)</f>
        <v>-400</v>
      </c>
      <c r="T8" s="5">
        <f>FLOOR(3000/Q8,1)</f>
        <v>-600</v>
      </c>
    </row>
    <row r="9" spans="1:21" ht="12.75" customHeight="1">
      <c r="A9" s="10" t="str">
        <f>texty!A49</f>
        <v>rozmer výplne 12mm:</v>
      </c>
      <c r="B9" s="57">
        <f>+B8</f>
        <v>-41</v>
      </c>
      <c r="C9" s="59">
        <f>+C7-17</f>
        <v>-4</v>
      </c>
      <c r="D9" s="8"/>
      <c r="E9" s="8"/>
      <c r="F9" s="50"/>
      <c r="G9" s="6"/>
      <c r="K9" s="37">
        <f>C10*D4</f>
        <v>-40</v>
      </c>
      <c r="L9" s="36">
        <f>(D4+1)*5</f>
        <v>25</v>
      </c>
      <c r="P9" s="5">
        <v>2</v>
      </c>
      <c r="Q9" s="164">
        <f t="shared" ref="Q9:Q14" si="0">Q8+$C$10+5</f>
        <v>-10</v>
      </c>
      <c r="R9" s="5">
        <f>(1500-C10)*R15</f>
        <v>-1510</v>
      </c>
      <c r="S9" s="5">
        <f>(2000-C10)*S15</f>
        <v>-2010</v>
      </c>
      <c r="T9" s="5">
        <f>(3000-C10)*T15</f>
        <v>-3010</v>
      </c>
      <c r="U9" s="5" t="s">
        <v>651</v>
      </c>
    </row>
    <row r="10" spans="1:21" ht="12.75" customHeight="1">
      <c r="A10" s="10" t="str">
        <f>texty!A50</f>
        <v>rozmer zrkadla /na DTD 12mm/</v>
      </c>
      <c r="B10" s="61">
        <f>+B8-4</f>
        <v>-45</v>
      </c>
      <c r="C10" s="66">
        <f>+C9-6</f>
        <v>-10</v>
      </c>
      <c r="D10" s="8"/>
      <c r="E10" s="8"/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-15</v>
      </c>
    </row>
    <row r="11" spans="1:21" ht="12.75" customHeight="1">
      <c r="A11" s="10" t="str">
        <f>texty!$A$51</f>
        <v>Dĺžka úchytkového profilu (+2 mm)</v>
      </c>
      <c r="B11" s="68">
        <f>B8+2</f>
        <v>-39</v>
      </c>
      <c r="D11" s="8"/>
      <c r="E11" s="8"/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-20</v>
      </c>
    </row>
    <row r="12" spans="1:21" ht="26">
      <c r="A12" s="10"/>
      <c r="B12" s="10"/>
      <c r="C12" s="497" t="str">
        <f>texty!A78</f>
        <v>dodatočné odpočty výšky vypočítaných výplní pri použití deliacich profilov výplne:</v>
      </c>
      <c r="D12" s="8"/>
      <c r="E12" s="8"/>
      <c r="F12" s="6"/>
      <c r="G12" s="6"/>
      <c r="K12" s="6">
        <f>C10*(D4-1)+(D4*5)</f>
        <v>-10</v>
      </c>
      <c r="L12" s="5">
        <f>IF(K12&lt;1500,1500,IF(K12&lt;2000,2000,IF(K12&lt;3000,3000,3000)))</f>
        <v>1500</v>
      </c>
      <c r="M12" s="5">
        <f>L12-K12</f>
        <v>1510</v>
      </c>
      <c r="P12" s="5">
        <v>5</v>
      </c>
      <c r="Q12" s="164">
        <f t="shared" si="0"/>
        <v>-25</v>
      </c>
    </row>
    <row r="13" spans="1:21" ht="12.75" customHeight="1">
      <c r="A13" s="7"/>
      <c r="B13" s="58"/>
      <c r="C13" s="12"/>
      <c r="D13" s="8"/>
      <c r="E13" s="8"/>
      <c r="F13" s="6"/>
      <c r="G13" s="6"/>
      <c r="K13" s="35">
        <f>C10+10</f>
        <v>0</v>
      </c>
      <c r="L13" s="5">
        <f>IF(M12&gt;=0,IF(K13&lt;1500,1500,IF(K13&lt;2000,2000,IF(K13&lt;3000,3000,"jiné"))),IF((K13+C10)&lt;1500,1500,IF((K13+C10)&lt;2000,2000,IF((K13+C10)&lt;3000,3000,"jiné"))))</f>
        <v>1500</v>
      </c>
      <c r="M13" s="5">
        <f>L13-K13</f>
        <v>1500</v>
      </c>
      <c r="P13" s="5">
        <v>6</v>
      </c>
      <c r="Q13" s="164">
        <f t="shared" si="0"/>
        <v>-30</v>
      </c>
    </row>
    <row r="14" spans="1:21" ht="12.75" customHeight="1">
      <c r="A14" s="7"/>
      <c r="B14" s="8"/>
      <c r="C14" s="12"/>
      <c r="D14" s="8"/>
      <c r="E14" s="8"/>
      <c r="F14" s="6"/>
      <c r="G14" s="6"/>
      <c r="K14" s="6"/>
      <c r="L14" s="5">
        <f>SUM(L12:L13)</f>
        <v>3000</v>
      </c>
      <c r="M14" s="5">
        <f>SUM(M12:M13)</f>
        <v>3010</v>
      </c>
      <c r="P14" s="5">
        <v>7</v>
      </c>
      <c r="Q14" s="164">
        <f t="shared" si="0"/>
        <v>-35</v>
      </c>
    </row>
    <row r="15" spans="1:21" ht="12.75" customHeight="1">
      <c r="B15" s="8"/>
      <c r="C15" s="12"/>
      <c r="D15" s="8"/>
      <c r="E15" s="8"/>
      <c r="F15" s="6"/>
      <c r="G15" s="6"/>
      <c r="K15" s="6"/>
      <c r="L15" s="5">
        <f>L14-C4</f>
        <v>3000</v>
      </c>
      <c r="P15" s="5" t="s">
        <v>650</v>
      </c>
      <c r="R15" s="5">
        <f>FLOOR($D$4/R8,1)</f>
        <v>-1</v>
      </c>
      <c r="S15" s="5">
        <f>FLOOR($D$4/S8,1)</f>
        <v>-1</v>
      </c>
      <c r="T15" s="5">
        <f>FLOOR($D$4/T8,1)</f>
        <v>-1</v>
      </c>
    </row>
    <row r="16" spans="1:21" ht="12.75" customHeight="1">
      <c r="A16" s="7"/>
      <c r="B16" s="8"/>
      <c r="C16" s="12"/>
      <c r="D16" s="8"/>
      <c r="E16" s="8"/>
      <c r="F16" s="6"/>
      <c r="G16" s="6"/>
      <c r="K16" s="6"/>
    </row>
    <row r="17" spans="1:21" ht="14.25" customHeight="1">
      <c r="A17" s="147"/>
      <c r="B17" s="8"/>
      <c r="C17" s="27"/>
      <c r="D17" s="8"/>
      <c r="E17" s="8"/>
      <c r="F17" s="6"/>
      <c r="G17" s="6"/>
      <c r="K17" s="6"/>
    </row>
    <row r="18" spans="1:21" ht="16.5" customHeight="1">
      <c r="A18" s="217"/>
      <c r="B18" s="8"/>
      <c r="C18" s="8"/>
      <c r="E18" s="8"/>
      <c r="F18" s="6"/>
      <c r="G18" s="6"/>
      <c r="K18" s="6"/>
      <c r="L18" s="6"/>
      <c r="Q18" s="5" t="s">
        <v>694</v>
      </c>
      <c r="R18" s="5" t="s">
        <v>693</v>
      </c>
      <c r="S18" s="5">
        <v>1500</v>
      </c>
      <c r="T18" s="5">
        <v>2000</v>
      </c>
      <c r="U18" s="5">
        <v>3000</v>
      </c>
    </row>
    <row r="19" spans="1:21" ht="16.5" customHeight="1">
      <c r="A19" s="7"/>
      <c r="B19" s="8"/>
      <c r="C19" s="8"/>
      <c r="D19" s="13"/>
      <c r="E19" s="8"/>
      <c r="F19" s="6"/>
      <c r="G19" s="6"/>
      <c r="K19" s="6"/>
      <c r="P19" s="5">
        <v>1</v>
      </c>
      <c r="Q19" s="5">
        <f>R8</f>
        <v>-300</v>
      </c>
      <c r="R19" s="5" t="str">
        <f>IF(Q19&gt;=D4,1,"")</f>
        <v/>
      </c>
      <c r="S19" s="168" t="str">
        <f>IF(R19=1,1,"")</f>
        <v/>
      </c>
      <c r="T19" s="168"/>
      <c r="U19" s="168"/>
    </row>
    <row r="20" spans="1:21" ht="12.75" customHeight="1">
      <c r="A20" s="7"/>
      <c r="B20" s="8"/>
      <c r="C20" s="8"/>
      <c r="D20" s="8"/>
      <c r="E20" s="8"/>
      <c r="F20" s="6"/>
      <c r="G20" s="6"/>
      <c r="K20" s="3"/>
      <c r="P20" s="5">
        <v>2</v>
      </c>
      <c r="Q20" s="5">
        <f>S8</f>
        <v>-400</v>
      </c>
      <c r="R20" s="5" t="str">
        <f>IF(Q20&gt;=D4,IF(R19=1,"",1),"")</f>
        <v/>
      </c>
      <c r="S20" s="168"/>
      <c r="T20" s="168" t="str">
        <f>IF(R20=1,1,"")</f>
        <v/>
      </c>
      <c r="U20" s="168"/>
    </row>
    <row r="21" spans="1:21" ht="12.75" customHeight="1">
      <c r="A21" s="499" t="s">
        <v>2952</v>
      </c>
      <c r="B21" s="496" t="s">
        <v>2953</v>
      </c>
      <c r="C21" s="496" t="s">
        <v>2949</v>
      </c>
      <c r="D21" s="8"/>
      <c r="E21" s="8"/>
      <c r="F21" s="6"/>
      <c r="G21" s="6"/>
      <c r="P21" s="5">
        <v>3</v>
      </c>
      <c r="Q21" s="5">
        <f>T8</f>
        <v>-600</v>
      </c>
      <c r="R21" s="5" t="str">
        <f>IF(Q21&gt;=D4,IF(Q20&gt;=D4,"",1),"")</f>
        <v/>
      </c>
      <c r="U21" s="168" t="str">
        <f>IF(R21=1,1,"")</f>
        <v/>
      </c>
    </row>
    <row r="22" spans="1:21" ht="12.75" customHeight="1">
      <c r="A22" s="7"/>
      <c r="B22" s="8"/>
      <c r="C22" s="8"/>
      <c r="D22" s="8"/>
      <c r="E22" s="8"/>
      <c r="F22" s="6"/>
      <c r="G22" s="6"/>
      <c r="K22" s="5" t="str">
        <f>CONCATENATE(M22,"-",$O$7)</f>
        <v xml:space="preserve">1500-strieborná </v>
      </c>
      <c r="L22" s="6">
        <f>SUM(S19:S31)</f>
        <v>0</v>
      </c>
      <c r="M22" s="5">
        <v>1500</v>
      </c>
      <c r="O22" s="5" t="s">
        <v>652</v>
      </c>
      <c r="P22" s="167" t="s">
        <v>653</v>
      </c>
      <c r="Q22" s="5">
        <f>R8+S8</f>
        <v>-700</v>
      </c>
      <c r="R22" s="5" t="str">
        <f>IF(Q22&gt;=D4,IF(SUM(R19:R21)&gt;0,"",1),"")</f>
        <v/>
      </c>
      <c r="S22" s="168" t="str">
        <f>IF(R22=1,1,"")</f>
        <v/>
      </c>
      <c r="T22" s="168" t="str">
        <f>IF(R22=1,1,"")</f>
        <v/>
      </c>
    </row>
    <row r="23" spans="1:21" ht="12.75" customHeight="1">
      <c r="A23" s="7"/>
      <c r="B23" s="8"/>
      <c r="D23" s="8"/>
      <c r="E23" s="8"/>
      <c r="F23" s="8"/>
      <c r="G23" s="131" t="str">
        <f>+System10!G25</f>
        <v>partnerská zľava:</v>
      </c>
      <c r="K23" s="5" t="str">
        <f>CONCATENATE(M23,"-",$O$7)</f>
        <v xml:space="preserve">2000-strieborná </v>
      </c>
      <c r="L23" s="6">
        <f>SUM(T19:T31)</f>
        <v>0</v>
      </c>
      <c r="M23" s="5">
        <v>2000</v>
      </c>
      <c r="P23" s="5" t="s">
        <v>689</v>
      </c>
      <c r="Q23" s="5">
        <f>S8+S8</f>
        <v>-800</v>
      </c>
      <c r="R23" s="5" t="str">
        <f>IF(Q23&gt;=D4,IF(SUM(R19:R22)&gt;0,"",1),"")</f>
        <v/>
      </c>
      <c r="T23" s="168" t="str">
        <f>IF(R23=1,2,"")</f>
        <v/>
      </c>
    </row>
    <row r="24" spans="1:21" ht="12.75" customHeight="1">
      <c r="A24" s="14" t="str">
        <f>+System10!A26</f>
        <v>Objednávacie kódy, ceny:</v>
      </c>
      <c r="B24" s="8"/>
      <c r="D24" s="8"/>
      <c r="E24" s="8"/>
      <c r="F24" s="8"/>
      <c r="G24" s="143">
        <f>profil!C15</f>
        <v>0</v>
      </c>
      <c r="H24" s="28"/>
      <c r="K24" s="5" t="str">
        <f>CONCATENATE(M24,"-",$O$7)</f>
        <v xml:space="preserve">3000-strieborná </v>
      </c>
      <c r="L24" s="6">
        <f>SUM(U19:U31)</f>
        <v>0</v>
      </c>
      <c r="M24" s="5">
        <v>3000</v>
      </c>
      <c r="N24" s="165"/>
      <c r="P24" s="5" t="s">
        <v>654</v>
      </c>
      <c r="Q24" s="5">
        <f>R8+T8</f>
        <v>-900</v>
      </c>
      <c r="R24" s="5" t="str">
        <f>IF(Q24&gt;=D4,IF(SUM(R19:R23)&gt;0,"",1),"")</f>
        <v/>
      </c>
      <c r="S24" s="168" t="str">
        <f>IF(R24=1,1,"")</f>
        <v/>
      </c>
      <c r="U24" s="168" t="str">
        <f>IF(R24=1,1,"")</f>
        <v/>
      </c>
    </row>
    <row r="25" spans="1:21" ht="12.75" customHeight="1">
      <c r="A25" s="7"/>
      <c r="B25" s="19" t="str">
        <f>+System10!B27</f>
        <v>kód</v>
      </c>
      <c r="C25" s="18" t="str">
        <f>+System10!C27</f>
        <v>názov</v>
      </c>
      <c r="D25" s="19" t="str">
        <f>+System10!D27</f>
        <v>ks</v>
      </c>
      <c r="E25" s="19" t="str">
        <f>+System10!E27</f>
        <v>cena/ks</v>
      </c>
      <c r="F25" s="19" t="str">
        <f>+System10!F27</f>
        <v>cena celkom</v>
      </c>
      <c r="G25" s="20" t="str">
        <f>+System10!G27</f>
        <v>celkom netto:</v>
      </c>
      <c r="I25" s="18" t="str">
        <f>texty!A29</f>
        <v>Poznámka:</v>
      </c>
      <c r="J25" s="18"/>
      <c r="K25" s="6"/>
      <c r="L25" s="5">
        <f>COUNT(L22,L23,L24)</f>
        <v>3</v>
      </c>
      <c r="M25" s="165"/>
      <c r="N25" s="165"/>
      <c r="P25" s="5" t="s">
        <v>655</v>
      </c>
      <c r="Q25" s="5">
        <f>S8+T8</f>
        <v>-1000</v>
      </c>
      <c r="R25" s="5" t="str">
        <f>IF(Q25&gt;=D4,IF(SUM(R19:R24)&gt;0,"",1),"")</f>
        <v/>
      </c>
      <c r="T25" s="168" t="str">
        <f>IF(R25=1,1,"")</f>
        <v/>
      </c>
      <c r="U25" s="168" t="str">
        <f>IF(R25=1,1,"")</f>
        <v/>
      </c>
    </row>
    <row r="26" spans="1:21" ht="12.75" customHeight="1">
      <c r="A26" s="7" t="str">
        <f>+System10!A28</f>
        <v>Horný profil:</v>
      </c>
      <c r="B26" s="16">
        <f>+VLOOKUP(N5,data!$C$226:$D$239,2,0)</f>
        <v>349796</v>
      </c>
      <c r="C26" s="25" t="str">
        <f>+VLOOKUP(B26,cennik!$A:$G,2,FALSE)</f>
        <v/>
      </c>
      <c r="D26" s="17">
        <v>1</v>
      </c>
      <c r="E26" s="92">
        <f>+VLOOKUP(B26,cennik!$A:$G,3,FALSE)</f>
        <v>14.659420000000001</v>
      </c>
      <c r="F26" s="92">
        <f t="shared" ref="F26:F30" si="1">+E26*D26</f>
        <v>14.659420000000001</v>
      </c>
      <c r="G26" s="93">
        <f t="shared" ref="G26:G30" si="2">+F26*(100-$G$24)/100</f>
        <v>14.659420000000001</v>
      </c>
      <c r="H26" s="6" t="str">
        <f>cennik!$B$2</f>
        <v>EUR</v>
      </c>
      <c r="I26" s="483" t="str">
        <f>IFERROR(IF((VLOOKUP(B26,cennik!A:L,12,0))="O",texty!$A$250,""),"")</f>
        <v>Na objednávku</v>
      </c>
      <c r="J26" s="196">
        <f>IF(D26&gt;0,IF(VLOOKUP(B26,cennik!A:L,12,FALSE)="O",1,""),"")</f>
        <v>1</v>
      </c>
      <c r="K26" s="6"/>
      <c r="L26" s="165"/>
      <c r="M26" s="165"/>
      <c r="N26" s="165"/>
      <c r="P26" s="5" t="s">
        <v>690</v>
      </c>
      <c r="Q26" s="5">
        <f>T8+T8</f>
        <v>-1200</v>
      </c>
      <c r="R26" s="5" t="str">
        <f>IF(Q26&gt;=D4,IF(SUM(R19:R25)&gt;0,"",1),"")</f>
        <v/>
      </c>
      <c r="U26" s="168" t="str">
        <f>IF(R26=1,2,"")</f>
        <v/>
      </c>
    </row>
    <row r="27" spans="1:21" ht="12.75" customHeight="1">
      <c r="A27" s="7" t="str">
        <f>+System10!A29</f>
        <v>spodný profil:</v>
      </c>
      <c r="B27" s="16">
        <f>+VLOOKUP(N5,data!$C$242:$D$255,2,0)</f>
        <v>349810</v>
      </c>
      <c r="C27" s="25" t="str">
        <f>+VLOOKUP(B27,cennik!$A:$G,2,FALSE)</f>
        <v/>
      </c>
      <c r="D27" s="17">
        <v>1</v>
      </c>
      <c r="E27" s="92">
        <f>+VLOOKUP(B27,cennik!$A:$G,3,FALSE)</f>
        <v>7.5749399999999998</v>
      </c>
      <c r="F27" s="92">
        <f t="shared" si="1"/>
        <v>7.5749399999999998</v>
      </c>
      <c r="G27" s="93">
        <f t="shared" si="2"/>
        <v>7.5749400000000007</v>
      </c>
      <c r="H27" s="6" t="str">
        <f>cennik!$B$2</f>
        <v>EUR</v>
      </c>
      <c r="I27" s="483" t="str">
        <f>IFERROR(IF((VLOOKUP(B27,cennik!A:L,12,0))="O",texty!$A$250,""),"")</f>
        <v>Na objednávku</v>
      </c>
      <c r="J27" s="196">
        <f>IF(D27&gt;0,IF(VLOOKUP(B27,cennik!A:L,12,FALSE)="O",1,""),"")</f>
        <v>1</v>
      </c>
      <c r="K27" s="6" t="s">
        <v>656</v>
      </c>
      <c r="L27" s="5" t="str">
        <f>IF(L22=0,IF(L23=0,K24,K23),K22)</f>
        <v xml:space="preserve">3000-strieborná </v>
      </c>
      <c r="M27" s="165">
        <f>IF(L27=K22,L22,IF(L27=K23,L23,IF(L27=K24,L24,"chyba")))</f>
        <v>0</v>
      </c>
      <c r="N27" s="165"/>
      <c r="O27" s="165"/>
      <c r="P27" s="5" t="s">
        <v>691</v>
      </c>
      <c r="Q27" s="5">
        <f>R8+R8+R8</f>
        <v>-900</v>
      </c>
      <c r="R27" s="5" t="str">
        <f>IF(Q27&gt;=D4,IF(SUM(R19:R26)&gt;0,"",1),"")</f>
        <v/>
      </c>
      <c r="S27" s="168" t="str">
        <f>IF(R27=1,3,"")</f>
        <v/>
      </c>
    </row>
    <row r="28" spans="1:21" ht="12.75" customHeight="1">
      <c r="A28" s="7" t="str">
        <f>texty!$A$210</f>
        <v>záslepko spodného vedenia</v>
      </c>
      <c r="B28" s="16">
        <v>216362</v>
      </c>
      <c r="C28" s="25" t="str">
        <f>+VLOOKUP(B28,cennik!$A:$G,2,FALSE)</f>
        <v>SEVROLL záslepka spodného vedenia Simple</v>
      </c>
      <c r="D28" s="17">
        <f>CEILING(C4/1000,1)</f>
        <v>0</v>
      </c>
      <c r="E28" s="92">
        <f>+VLOOKUP(B28,cennik!$A:$G,3,FALSE)</f>
        <v>1.1716599999999999</v>
      </c>
      <c r="F28" s="92">
        <f t="shared" si="1"/>
        <v>0</v>
      </c>
      <c r="G28" s="93">
        <f t="shared" si="2"/>
        <v>0</v>
      </c>
      <c r="H28" s="6" t="str">
        <f>cennik!$B$2</f>
        <v>EUR</v>
      </c>
      <c r="I28" s="483" t="str">
        <f>IFERROR(IF((VLOOKUP(B28,cennik!A:L,12,0))="O",texty!$A$250,""),"")</f>
        <v/>
      </c>
      <c r="J28" s="196" t="str">
        <f>IF(D28&gt;0,IF(VLOOKUP(B28,cennik!A:L,12,FALSE)="O",1,""),"")</f>
        <v/>
      </c>
      <c r="K28" s="6"/>
      <c r="M28" s="165"/>
      <c r="N28" s="165"/>
      <c r="O28" s="165"/>
      <c r="S28" s="168"/>
    </row>
    <row r="29" spans="1:21" ht="12.75" customHeight="1">
      <c r="A29" s="7" t="str">
        <f>+System10!A31</f>
        <v>horné vozíky (sady)</v>
      </c>
      <c r="B29" s="16">
        <v>349734</v>
      </c>
      <c r="C29" s="25" t="str">
        <f>+VLOOKUP(B29,cennik!$A:$G,2,FALSE)</f>
        <v>SEV-horný vozík Blue(18mm)bezrámový (L+P)</v>
      </c>
      <c r="D29" s="17">
        <f>+D4</f>
        <v>4</v>
      </c>
      <c r="E29" s="92">
        <f>+VLOOKUP(B29,cennik!$A:$G,3,FALSE)</f>
        <v>3.8147199999999999</v>
      </c>
      <c r="F29" s="92">
        <f t="shared" si="1"/>
        <v>15.25888</v>
      </c>
      <c r="G29" s="93">
        <f t="shared" si="2"/>
        <v>15.25888</v>
      </c>
      <c r="H29" s="6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K29" s="6" t="s">
        <v>657</v>
      </c>
      <c r="L29" s="5" t="str">
        <f>IF(L27=K24,"jiné",IF(L27=K22,IF(L23&lt;&gt;0,K23,IF(L24&lt;&gt;0,K24,"jiné")),IF(L24&lt;&gt;0,K24,"jiné")))</f>
        <v>jiné</v>
      </c>
      <c r="M29" s="165">
        <f>IF(L29=K23,L23,IF(L29=K24,L24,IF(L29=K25,L25,0)))</f>
        <v>0</v>
      </c>
      <c r="N29" s="165"/>
      <c r="O29" s="165"/>
      <c r="P29" s="5" t="s">
        <v>658</v>
      </c>
      <c r="Q29" s="5">
        <f>R8+2*S8</f>
        <v>-1100</v>
      </c>
      <c r="R29" s="5" t="str">
        <f>IF(Q29&gt;=D4,IF(SUM(R19:R27)&gt;0,"",1),"")</f>
        <v/>
      </c>
      <c r="S29" s="168" t="str">
        <f>IF(R29=1,1,"")</f>
        <v/>
      </c>
      <c r="T29" s="168" t="str">
        <f>IF(R29=1,2,"")</f>
        <v/>
      </c>
    </row>
    <row r="30" spans="1:21" ht="12.75" customHeight="1">
      <c r="A30" s="7" t="str">
        <f>+System10!A32</f>
        <v>spodné vozíky (sada)</v>
      </c>
      <c r="B30" s="16">
        <v>349735</v>
      </c>
      <c r="C30" s="25" t="str">
        <f>+VLOOKUP(B30,cennik!$A:$G,2,FALSE)</f>
        <v>SEVROLL spodný vozík Blue V (bezrámový pre 1</v>
      </c>
      <c r="D30" s="17">
        <f>+D4</f>
        <v>4</v>
      </c>
      <c r="E30" s="92">
        <f>+VLOOKUP(B30,cennik!$A:$G,3,FALSE)</f>
        <v>5.3133600000000003</v>
      </c>
      <c r="F30" s="92">
        <f t="shared" si="1"/>
        <v>21.253440000000001</v>
      </c>
      <c r="G30" s="93">
        <f t="shared" si="2"/>
        <v>21.253440000000001</v>
      </c>
      <c r="H30" s="6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6"/>
      <c r="L30" s="165"/>
      <c r="M30" s="165"/>
      <c r="N30" s="165"/>
      <c r="O30" s="165"/>
      <c r="P30" s="5" t="s">
        <v>692</v>
      </c>
      <c r="Q30" s="5">
        <f>S8+S8+S8</f>
        <v>-1200</v>
      </c>
      <c r="R30" s="5" t="str">
        <f>IF(Q30&gt;=D4,IF(SUM(R19:R29)&gt;0,"",1),"")</f>
        <v/>
      </c>
      <c r="T30" s="168" t="str">
        <f>IF(R30=1,3,"")</f>
        <v/>
      </c>
    </row>
    <row r="31" spans="1:21" ht="12.75" customHeight="1">
      <c r="A31" s="7" t="str">
        <f>+System10!A33</f>
        <v>dorazový kartáč</v>
      </c>
      <c r="B31" s="16">
        <v>98067</v>
      </c>
      <c r="C31" s="25" t="str">
        <f>+VLOOKUP(B31,cennik!$A:$G,2,FALSE)</f>
        <v>SEVROLL dorazový kartáč zásuvný 14,5x4mm</v>
      </c>
      <c r="D31" s="17">
        <f>CEILING((B4*D4*2/1000),1)</f>
        <v>0</v>
      </c>
      <c r="E31" s="92">
        <f>+VLOOKUP(B31,cennik!$A:$G,3,FALSE)</f>
        <v>0.17649000000000001</v>
      </c>
      <c r="F31" s="92">
        <f>+E31*D31</f>
        <v>0</v>
      </c>
      <c r="G31" s="93">
        <f>+F31*(100-$G$24)/100</f>
        <v>0</v>
      </c>
      <c r="H31" s="6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 t="str">
        <f>CONCATENATE(3000,"-",E4)</f>
        <v xml:space="preserve">3000-strieborná </v>
      </c>
      <c r="L31" s="165"/>
      <c r="M31" s="165"/>
      <c r="N31" s="165"/>
      <c r="O31" s="165"/>
      <c r="P31" s="5" t="s">
        <v>659</v>
      </c>
      <c r="Q31" s="5">
        <f>R8+2*T8</f>
        <v>-1500</v>
      </c>
      <c r="R31" s="5" t="str">
        <f>IF(Q31&gt;=D4,IF(SUM(R19:R30)&gt;0,"",1),"")</f>
        <v/>
      </c>
      <c r="S31" s="168" t="str">
        <f>IF(R31=1,1,"")</f>
        <v/>
      </c>
      <c r="U31" s="168" t="str">
        <f>IF(R31=1,2,"")</f>
        <v/>
      </c>
    </row>
    <row r="32" spans="1:21" ht="12.75" customHeight="1">
      <c r="A32" s="7" t="str">
        <f>+System10!A34</f>
        <v>úchytková lišta</v>
      </c>
      <c r="B32" s="16">
        <f>+VLOOKUP(O7,data!$C$452:$D$453,2,0)</f>
        <v>341559</v>
      </c>
      <c r="C32" s="25" t="str">
        <f>+VLOOKUP(B32,cennik!$A:$G,2,FALSE)</f>
        <v>SEVROLL Rekord úchytková lišta 18mm 2,70m strieborná</v>
      </c>
      <c r="D32" s="17">
        <f>IF(B11&lt;=1347,D4*2/2,D4*2)</f>
        <v>4</v>
      </c>
      <c r="E32" s="92">
        <f>+VLOOKUP(B32,cennik!$A:$G,3,FALSE)</f>
        <v>14.931900000000001</v>
      </c>
      <c r="F32" s="92">
        <f>+E32*D32</f>
        <v>59.727600000000002</v>
      </c>
      <c r="G32" s="93">
        <f>+F32*(100-$G$24)/100</f>
        <v>59.727600000000002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3" t="s">
        <v>988</v>
      </c>
    </row>
    <row r="33" spans="1:11" ht="12.75" customHeight="1">
      <c r="A33" s="7"/>
      <c r="B33" s="6"/>
      <c r="C33" s="25"/>
      <c r="D33" s="17"/>
      <c r="E33" s="92"/>
      <c r="F33" s="92"/>
      <c r="G33" s="93"/>
      <c r="I33" s="483" t="str">
        <f>IFERROR(IF((VLOOKUP(B33,cennik!A:L,12,0))="O",texty!$A$250,""),"")</f>
        <v/>
      </c>
      <c r="J33" s="196"/>
      <c r="K33" s="162">
        <f>(C10*D4)+(D4-1)*5</f>
        <v>-25</v>
      </c>
    </row>
    <row r="34" spans="1:11" ht="12.75" customHeight="1">
      <c r="A34" s="14" t="str">
        <f>texty!$A$66</f>
        <v>Voliteľné príslušenstvo:</v>
      </c>
      <c r="B34" s="15"/>
      <c r="D34" s="26" t="str">
        <f>System10!$D$41</f>
        <v>zadajte počet:</v>
      </c>
      <c r="E34" s="96"/>
      <c r="F34" s="96"/>
      <c r="G34" s="95"/>
      <c r="I34" s="483" t="str">
        <f>IFERROR(IF((VLOOKUP(B34,cennik!A:L,12,0))="O",texty!$A$250,""),"")</f>
        <v/>
      </c>
      <c r="J34" s="196"/>
      <c r="K34" s="3"/>
    </row>
    <row r="35" spans="1:11" ht="12.75" customHeight="1">
      <c r="A35" s="7" t="str">
        <f>texty!$A$88</f>
        <v>pozicionér do horného vedenia</v>
      </c>
      <c r="B35" s="15">
        <v>298035</v>
      </c>
      <c r="C35" s="25" t="str">
        <f>+VLOOKUP(B35,cennik!$A:$G,2,FALSE)</f>
        <v>SEVROLL Fix pozicionér pre horný vozík tran.</v>
      </c>
      <c r="D35" s="29"/>
      <c r="E35" s="92">
        <f>+VLOOKUP(B35,cennik!$A:$G,3,FALSE)</f>
        <v>1.0605800000000001</v>
      </c>
      <c r="F35" s="97">
        <f t="shared" ref="F35" si="3">+CEILING(D35,1)*E35</f>
        <v>0</v>
      </c>
      <c r="G35" s="93">
        <f t="shared" ref="G35" si="4">+F35*(100-$G$24)/100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3">
        <f>+System10!L22</f>
        <v>0</v>
      </c>
    </row>
    <row r="36" spans="1:11" ht="12.75" customHeight="1">
      <c r="A36" s="7" t="str">
        <f>texty!A87</f>
        <v>pozicionér</v>
      </c>
      <c r="B36" s="211">
        <v>229681</v>
      </c>
      <c r="C36" s="25" t="str">
        <f>+VLOOKUP(B36,cennik!$A:$G,2,FALSE)</f>
        <v>SEVROLL Simple pozicionér pre spodný vozík</v>
      </c>
      <c r="D36" s="29"/>
      <c r="E36" s="92">
        <f>+VLOOKUP(B36,cennik!$A:$G,3,FALSE)</f>
        <v>0.40872000000000003</v>
      </c>
      <c r="F36" s="92">
        <f>+E36*D36</f>
        <v>0</v>
      </c>
      <c r="G36" s="93">
        <f>+F36*(100-$G$24)/100</f>
        <v>0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/>
    </row>
    <row r="37" spans="1:11" ht="12.75" customHeight="1">
      <c r="A37" s="7" t="str">
        <f>texty!A179</f>
        <v>skrutka k spodnémi vedeniu</v>
      </c>
      <c r="B37" s="15">
        <v>98019</v>
      </c>
      <c r="C37" s="25" t="str">
        <f>+VLOOKUP(B37,cennik!$A:$G,2,FALSE)</f>
        <v>SEVROLL-skrutka 2,5*18MM</v>
      </c>
      <c r="D37" s="29"/>
      <c r="E37" s="92">
        <f>+VLOOKUP(B37,cennik!$A:$G,3,FALSE)</f>
        <v>2.8680000000000001E-2</v>
      </c>
      <c r="F37" s="97">
        <f>+CEILING(D37,1)*E37</f>
        <v>0</v>
      </c>
      <c r="G37" s="93">
        <f>+F37*(100-$G$20)/100</f>
        <v>0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3" t="str">
        <f>+System10!L24</f>
        <v xml:space="preserve">1700-strieborná </v>
      </c>
    </row>
    <row r="38" spans="1:11" ht="12.75" customHeight="1">
      <c r="A38" s="7" t="str">
        <f>texty!$A$204</f>
        <v>spojovací H25 profil Simple (18mm)</v>
      </c>
      <c r="B38" s="16">
        <f>+VLOOKUP(O7,data!$C$408:$D$410,2,0)</f>
        <v>336796</v>
      </c>
      <c r="C38" s="25" t="str">
        <f>+VLOOKUP(B38,cennik!$A:$G,2,FALSE)</f>
        <v>SEVROLL spoj.lišta Simple H21 3m(18mm) str.</v>
      </c>
      <c r="D38" s="30"/>
      <c r="E38" s="92">
        <f>+VLOOKUP(B38,cennik!$A:$G,3,FALSE)</f>
        <v>13.24253</v>
      </c>
      <c r="F38" s="92">
        <f>+E38*D38</f>
        <v>0</v>
      </c>
      <c r="G38" s="93">
        <f>+F38*(100-$G$24)/100</f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/>
    </row>
    <row r="39" spans="1:11" ht="12.75" customHeight="1">
      <c r="A39" s="7" t="str">
        <f>texty!$A$205</f>
        <v>spojovací H31 profil Simple (18mm)</v>
      </c>
      <c r="B39" s="16">
        <f>+VLOOKUP(O7,data!$C$411:$D$413,2,0)</f>
        <v>328825</v>
      </c>
      <c r="C39" s="25" t="str">
        <f>+VLOOKUP(B39,cennik!$A:$G,2,FALSE)</f>
        <v>SEVROLL spojovacia lišta Simple / Blue H28 3m (18mm) strieborná</v>
      </c>
      <c r="D39" s="30"/>
      <c r="E39" s="92">
        <f>+VLOOKUP(B39,cennik!$A:$G,3,FALSE)</f>
        <v>22.997309999999999</v>
      </c>
      <c r="F39" s="92">
        <f>+E39*D39</f>
        <v>0</v>
      </c>
      <c r="G39" s="93">
        <f>+F39*(100-$G$24)/100</f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/>
    </row>
    <row r="40" spans="1:11" ht="12.75" customHeight="1">
      <c r="A40" s="436" t="str">
        <f>texty!$A$228</f>
        <v> Tlmič dorazu MINI do 25 kg (pár)</v>
      </c>
      <c r="B40" s="16">
        <v>318662</v>
      </c>
      <c r="C40" s="25" t="str">
        <f>+VLOOKUP(B40,cennik!$A:$G,2,FALSE)</f>
        <v>SEVROLL tlmič dorazu Mini SV25 - 2ks</v>
      </c>
      <c r="D40" s="29"/>
      <c r="E40" s="92">
        <f>+VLOOKUP(B40,cennik!$A:$G,3,FALSE)</f>
        <v>22.368510000000001</v>
      </c>
      <c r="F40" s="97">
        <f>+CEILING(D40,1)*E40</f>
        <v>0</v>
      </c>
      <c r="G40" s="93">
        <f t="shared" ref="G40:G43" si="5">+F40*(100-$G$24)/100</f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11" ht="12.75" customHeight="1">
      <c r="A41" s="436" t="str">
        <f>texty!$A$229</f>
        <v> Tlmič dorazu MINI do 40 kg (pár)</v>
      </c>
      <c r="B41" s="24">
        <v>283956</v>
      </c>
      <c r="C41" s="25" t="str">
        <f>+VLOOKUP(B41,cennik!$A:$G,2,FALSE)</f>
        <v>SEVROLL tlmič dorazu Mini SV40 - 2ks</v>
      </c>
      <c r="D41" s="29"/>
      <c r="E41" s="92">
        <f>+VLOOKUP(B41,cennik!$A:$G,3,FALSE)</f>
        <v>22.368510000000001</v>
      </c>
      <c r="F41" s="97">
        <f>+CEILING(D41,1)*E41</f>
        <v>0</v>
      </c>
      <c r="G41" s="93">
        <f t="shared" si="5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/>
    </row>
    <row r="42" spans="1:11" ht="12.75" customHeight="1">
      <c r="A42" s="436" t="str">
        <f>texty!$A$231</f>
        <v> Tlmič pre stredné krídlo do 25 kg</v>
      </c>
      <c r="B42" s="24">
        <v>318663</v>
      </c>
      <c r="C42" s="25" t="str">
        <f>+VLOOKUP(B42,cennik!$A:$G,2,FALSE)</f>
        <v>SEVROLL tlmič Central 10/18mm obojst. 25 kg</v>
      </c>
      <c r="D42" s="29"/>
      <c r="E42" s="92">
        <f>+VLOOKUP(B42,cennik!$A:$G,3,FALSE)</f>
        <v>47.918750000000003</v>
      </c>
      <c r="F42" s="97">
        <f>+CEILING(D42,1)*E42</f>
        <v>0</v>
      </c>
      <c r="G42" s="93">
        <f t="shared" si="5"/>
        <v>0</v>
      </c>
      <c r="H42" s="6" t="str">
        <f>cennik!$B$2</f>
        <v>EUR</v>
      </c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3"/>
    </row>
    <row r="43" spans="1:11" ht="12.75" customHeight="1">
      <c r="A43" s="436" t="str">
        <f>texty!$A$232</f>
        <v> Tlmič pre stredné krídlo do 40 kg</v>
      </c>
      <c r="B43" s="24">
        <v>283955</v>
      </c>
      <c r="C43" s="25" t="str">
        <f>+VLOOKUP(B43,cennik!$A:$G,2,FALSE)</f>
        <v>SEVROLL tlmič Central 10/18mm obojst.25-40kg</v>
      </c>
      <c r="D43" s="29"/>
      <c r="E43" s="92">
        <f>+VLOOKUP(B43,cennik!$A:$G,3,FALSE)</f>
        <v>47.918750000000003</v>
      </c>
      <c r="F43" s="97">
        <f>+CEILING(D43,1)*E43</f>
        <v>0</v>
      </c>
      <c r="G43" s="93">
        <f t="shared" si="5"/>
        <v>0</v>
      </c>
      <c r="H43" s="6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  <c r="K43" s="6"/>
    </row>
    <row r="44" spans="1:11" ht="12.75" customHeight="1">
      <c r="A44" s="7" t="str">
        <f>texty!$A$90</f>
        <v>protiprachový kartáč</v>
      </c>
      <c r="B44" s="16">
        <v>305348</v>
      </c>
      <c r="C44" s="25" t="str">
        <f>+VLOOKUP(B44,cennik!$A:$G,2,FALSE)</f>
        <v>SEVROLL dorazový kartáč zásuvný 4,8x9mm</v>
      </c>
      <c r="D44" s="30"/>
      <c r="E44" s="92">
        <f>+VLOOKUP(B44,cennik!$A:$G,3,FALSE)</f>
        <v>0.27248</v>
      </c>
      <c r="F44" s="92">
        <f>+E44*D44</f>
        <v>0</v>
      </c>
      <c r="G44" s="93">
        <f>+F44*(100-$G$24)/100</f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6"/>
    </row>
    <row r="45" spans="1:11" ht="12.75" customHeight="1">
      <c r="A45" s="146" t="str">
        <f>texty!$A$119</f>
        <v>uholník mini 11x17mm - 1,7m</v>
      </c>
      <c r="B45" s="6">
        <f>+VLOOKUP($O$7,data!$C$513:$D$522,2,0)</f>
        <v>89134</v>
      </c>
      <c r="C45" s="38" t="str">
        <f>IF(B45=data!$D$54,texty!$A$239,+VLOOKUP(B45,cennik!$A$3:$G$907,2,FALSE))</f>
        <v>SEVROLL-182 UHOLNÍK 17*11 STRIEBOR. 1,7M</v>
      </c>
      <c r="D45" s="29"/>
      <c r="E45" s="92">
        <f>IF(B45=data!$D$63,0,+VLOOKUP(B45,cennik!$A$3:$G$907,3,FALSE))</f>
        <v>2.5309200000000001</v>
      </c>
      <c r="F45" s="92">
        <f>+E45*D45</f>
        <v>0</v>
      </c>
      <c r="G45" s="105">
        <f t="shared" ref="G45:G51" si="6">+F45*(100-$G$22)/100</f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196"/>
    </row>
    <row r="46" spans="1:11" ht="12.75" customHeight="1">
      <c r="A46" s="146" t="str">
        <f>texty!$A$120</f>
        <v>uholník mini 11x17mm - 2,35m</v>
      </c>
      <c r="B46" s="6">
        <f>+VLOOKUP($O$7,data!$C$523:$D$532,2,0)</f>
        <v>89137</v>
      </c>
      <c r="C46" s="38" t="str">
        <f>IF(B46=data!$D$54,texty!$A$239,+VLOOKUP(B46,cennik!$A$3:$G$907,2,FALSE))</f>
        <v>SEVROLL-183 UHOLNÍK 17*11 STRIEBOR. 2,35</v>
      </c>
      <c r="D46" s="29"/>
      <c r="E46" s="92">
        <f>IF(B46=data!$D$63,0,+VLOOKUP(B46,cennik!$A$3:$G$907,3,FALSE))</f>
        <v>3.5673900000000001</v>
      </c>
      <c r="F46" s="92">
        <f>+E46*D46</f>
        <v>0</v>
      </c>
      <c r="G46" s="105">
        <f t="shared" si="6"/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196"/>
    </row>
    <row r="47" spans="1:11" ht="12.75" customHeight="1">
      <c r="A47" s="146" t="str">
        <f>texty!$A$121</f>
        <v>uholník mini 11x17mm - 3m</v>
      </c>
      <c r="B47" s="15">
        <f>+VLOOKUP($O$7,data!$C$533:$D$542,2,0)</f>
        <v>89140</v>
      </c>
      <c r="C47" s="38" t="str">
        <f>IF(B47=data!$D$54,texty!$A$239,+VLOOKUP(B47,cennik!$A$3:$G$907,2,FALSE))</f>
        <v>SEVROLL-184 UHOLNÍK 17*11 STRIEBOR. 3M</v>
      </c>
      <c r="D47" s="29"/>
      <c r="E47" s="92">
        <f>IF(B47=data!$D$63,0,+VLOOKUP(B47,cennik!$A$3:$G$907,3,FALSE))</f>
        <v>4.4833400000000001</v>
      </c>
      <c r="F47" s="92">
        <f>+E47*D47</f>
        <v>0</v>
      </c>
      <c r="G47" s="105">
        <f t="shared" si="6"/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196"/>
    </row>
    <row r="48" spans="1:11" ht="12.75" customHeight="1">
      <c r="A48" s="146" t="str">
        <f>texty!$A$122</f>
        <v>uholník K2 19x18mm - 1,7m</v>
      </c>
      <c r="B48" s="24">
        <f>+VLOOKUP($O$7,data!$C$543:$D$552,2,0)</f>
        <v>89050</v>
      </c>
      <c r="C48" s="38" t="str">
        <f>IF(B48=data!$D$54,texty!$A$239,+VLOOKUP(B48,cennik!$A$3:$G$907,2,FALSE))</f>
        <v>SEVROLL-278 UHOLNÍK K2 1,70M STRIEBORNÁ</v>
      </c>
      <c r="D48" s="29"/>
      <c r="E48" s="92">
        <f>IF(B48=data!$D$63,0,+VLOOKUP(B48,cennik!$A$3:$G$907,3,FALSE))</f>
        <v>3.7843300000000002</v>
      </c>
      <c r="F48" s="92">
        <f>+E48*D48</f>
        <v>0</v>
      </c>
      <c r="G48" s="105">
        <f t="shared" si="6"/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196"/>
    </row>
    <row r="49" spans="1:13" ht="12.75" customHeight="1">
      <c r="A49" s="146" t="str">
        <f>texty!$A$123</f>
        <v>uholník K2 19x18mm - 2,35m</v>
      </c>
      <c r="B49" s="16">
        <f>+VLOOKUP($O$7,data!$C$553:$D$562,2,0)</f>
        <v>89053</v>
      </c>
      <c r="C49" s="38" t="str">
        <f>IF(B49=data!$D$54,texty!$A$239,+VLOOKUP(B49,cennik!$A$3:$G$907,2,FALSE))</f>
        <v>SEVROLL uholník K2 Decor 2,35m strieborná</v>
      </c>
      <c r="D49" s="30"/>
      <c r="E49" s="92">
        <f>IF(B49=data!$D$63,0,+VLOOKUP(B49,cennik!$A$3:$G$907,3,FALSE))</f>
        <v>5.25467</v>
      </c>
      <c r="F49" s="92">
        <f t="shared" ref="F49:F51" si="7">+E49*D49</f>
        <v>0</v>
      </c>
      <c r="G49" s="105">
        <f t="shared" si="6"/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196"/>
    </row>
    <row r="50" spans="1:13" ht="12.75" customHeight="1">
      <c r="A50" s="146" t="str">
        <f>texty!$A$124</f>
        <v>uholník K2 19x18mm - 3,00m</v>
      </c>
      <c r="B50" s="16">
        <f>+VLOOKUP($O$7,data!$C$563:$D$572,2,0)</f>
        <v>89056</v>
      </c>
      <c r="C50" s="38" t="str">
        <f>IF(B50=data!$D$54,texty!$A$239,+VLOOKUP(B50,cennik!$A$3:$G$907,2,FALSE))</f>
        <v>SEVROLL uholník K2 Decor 3m strieborná</v>
      </c>
      <c r="D50" s="30"/>
      <c r="E50" s="92">
        <f>IF(B50=data!$D$63,0,+VLOOKUP(B50,cennik!$A$3:$G$907,3,FALSE))</f>
        <v>6.7009100000000004</v>
      </c>
      <c r="F50" s="92">
        <f t="shared" si="7"/>
        <v>0</v>
      </c>
      <c r="G50" s="105">
        <f t="shared" si="6"/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196"/>
    </row>
    <row r="51" spans="1:13" ht="12.75" customHeight="1">
      <c r="A51" s="146" t="str">
        <f>texty!$A$241</f>
        <v>klínok pre dilatáciu výplne 16mm</v>
      </c>
      <c r="B51" s="16">
        <v>308631</v>
      </c>
      <c r="C51" s="38" t="str">
        <f>+VLOOKUP(B51,cennik!$A:$G,2,FALSE)</f>
        <v>SEVROLL klin pre lamino (100 ks) tl. 2mm</v>
      </c>
      <c r="D51" s="29"/>
      <c r="E51" s="219">
        <f>+VLOOKUP(B51,cennik!$A:$G,3,FALSE)</f>
        <v>9.0389999999999997</v>
      </c>
      <c r="F51" s="106">
        <f t="shared" si="7"/>
        <v>0</v>
      </c>
      <c r="G51" s="105">
        <f t="shared" si="6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196"/>
    </row>
    <row r="52" spans="1:13" ht="12.75" customHeight="1">
      <c r="A52" s="436" t="str">
        <f>texty!$A$240</f>
        <v>zámok posuvných dverí</v>
      </c>
      <c r="B52" s="24">
        <v>216363</v>
      </c>
      <c r="C52" s="38" t="str">
        <f>+VLOOKUP(B52,cennik!$A:$G,2,FALSE)</f>
        <v>SEVROLL zámok na posuvné dvere 18 mm</v>
      </c>
      <c r="D52" s="29"/>
      <c r="E52" s="219">
        <f>+VLOOKUP(B52,cennik!$A:$G,3,FALSE)</f>
        <v>17.186150000000001</v>
      </c>
      <c r="F52" s="106">
        <f>+E52*D52</f>
        <v>0</v>
      </c>
      <c r="G52" s="105">
        <f>+F52*(100-$G$22)/100</f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196"/>
    </row>
    <row r="53" spans="1:13" ht="12.75" customHeight="1">
      <c r="H53" s="5"/>
      <c r="I53" s="5"/>
      <c r="J53" s="196"/>
      <c r="K53" s="196"/>
    </row>
    <row r="54" spans="1:13" ht="16">
      <c r="A54" s="285" t="str">
        <f>texty!$A$190</f>
        <v>Ďalšie príslušenstvo</v>
      </c>
      <c r="E54" s="95"/>
      <c r="F54" s="95"/>
      <c r="G54" s="95"/>
      <c r="I54" s="186"/>
      <c r="J54" s="186"/>
      <c r="K54" s="6"/>
    </row>
    <row r="55" spans="1:13" ht="12.75" customHeight="1">
      <c r="A55" s="285" t="str">
        <f>texty!$A$244</f>
        <v>Technický nákres tohoto systému</v>
      </c>
      <c r="E55" s="95"/>
      <c r="F55" s="95"/>
      <c r="G55" s="95"/>
      <c r="I55" s="186"/>
      <c r="J55" s="186"/>
    </row>
    <row r="56" spans="1:13" ht="12.75" customHeight="1">
      <c r="B56" s="8"/>
      <c r="C56" s="8"/>
      <c r="D56" s="77" t="str">
        <f>texty!$A$15</f>
        <v>CELKOM  (bez DPH)</v>
      </c>
      <c r="E56" s="100"/>
      <c r="F56" s="102">
        <f>SUM(F26:F54)</f>
        <v>118.47427999999999</v>
      </c>
      <c r="G56" s="102">
        <f>SUM(G26:G54)</f>
        <v>118.47427999999999</v>
      </c>
      <c r="H56" s="6" t="str">
        <f>cennik!$B$2</f>
        <v>EUR</v>
      </c>
      <c r="I56" s="186"/>
      <c r="J56" s="186"/>
      <c r="K56" s="5" t="str">
        <f>texty!A128</f>
        <v xml:space="preserve">strieborná </v>
      </c>
    </row>
    <row r="57" spans="1:13" ht="12.75" customHeight="1">
      <c r="A57" s="76" t="str">
        <f>System10!$A$67</f>
        <v>Vaša poznámka:</v>
      </c>
      <c r="B57" s="665"/>
      <c r="C57" s="666"/>
      <c r="D57" s="666"/>
      <c r="E57" s="666"/>
      <c r="F57" s="666"/>
      <c r="G57" s="666"/>
      <c r="K57" s="5" t="str">
        <f>texty!A130</f>
        <v>oliva</v>
      </c>
    </row>
    <row r="58" spans="1:13" ht="12.75" customHeight="1">
      <c r="A58" s="657">
        <f>profil!$U$15</f>
        <v>0</v>
      </c>
      <c r="B58" s="658"/>
      <c r="C58" s="658"/>
      <c r="D58" s="658"/>
      <c r="E58" s="658"/>
      <c r="F58" s="658"/>
      <c r="G58" s="658"/>
    </row>
    <row r="59" spans="1:13" ht="12.75" customHeight="1">
      <c r="A59" s="659" t="str">
        <f>IF(M59=1,texty!$A$215,IF(J59&gt;0,texty!$A$214,""))</f>
        <v>některé položky sú na objednávku, počítajte prosím s dodaciou  lehotou  do 5 týždnov</v>
      </c>
      <c r="B59" s="659"/>
      <c r="C59" s="659"/>
      <c r="D59" s="659"/>
      <c r="E59" s="659"/>
      <c r="F59" s="659"/>
      <c r="G59" s="659"/>
      <c r="J59" s="6">
        <f>SUM(J26:J54)</f>
        <v>2</v>
      </c>
      <c r="M59" s="5">
        <f>IF(ISERROR(J59),1,0)</f>
        <v>0</v>
      </c>
    </row>
    <row r="60" spans="1:13" ht="12.75" customHeight="1"/>
    <row r="72" spans="1:1" ht="12.75" hidden="1" customHeight="1">
      <c r="A72" s="5">
        <v>3</v>
      </c>
    </row>
    <row r="73" spans="1:1" ht="12.75" customHeight="1"/>
    <row r="74" spans="1:1" ht="12.75" customHeight="1"/>
    <row r="75" spans="1:1" ht="12.75" customHeight="1"/>
    <row r="76" spans="1:1" ht="12.75" customHeight="1"/>
    <row r="77" spans="1:1" ht="12.75" customHeight="1"/>
  </sheetData>
  <sheetProtection algorithmName="SHA-512" hashValue="pmksuJVhHr3GDbxojxv0VADSmmvk9beiNn308b6qOo/iyM4/cD3JB2FvZyNZoNbJRJhOE5DFcr7naBbjPkO5KA==" saltValue="OwqAOEk9zPDABs1MXOYyR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44">
    <cfRule type="expression" dxfId="21" priority="9" stopIfTrue="1">
      <formula>IF(#REF!&gt;0,IF(#REF!=0,1,0),0)</formula>
    </cfRule>
  </conditionalFormatting>
  <conditionalFormatting sqref="D6">
    <cfRule type="expression" dxfId="20" priority="4">
      <formula>$D$4=4</formula>
    </cfRule>
    <cfRule type="expression" dxfId="19" priority="5">
      <formula>$D$4&lt;&gt;4</formula>
    </cfRule>
  </conditionalFormatting>
  <conditionalFormatting sqref="F4:I6">
    <cfRule type="expression" dxfId="18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 2740 mm" sqref="B4" xr:uid="{ED88714A-531F-44A7-AEE0-E570511114B7}">
      <formula1>0</formula1>
      <formula2>2740</formula2>
    </dataValidation>
    <dataValidation type="list" allowBlank="1" showInputMessage="1" showErrorMessage="1" sqref="E5:E6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$K$56:$K$57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2BAB081-D9C0-4EDA-9BCE-ED4225BA4517}">
            <xm:f>$I26=texty!$A$250</xm:f>
            <x14:dxf>
              <font>
                <color rgb="FFFF0000"/>
              </font>
            </x14:dxf>
          </x14:cfRule>
          <xm:sqref>I26:I52</xm:sqref>
        </x14:conditionalFormatting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A26:H52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92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7.83203125" style="5" customWidth="1"/>
    <col min="2" max="2" width="15.83203125" style="5" customWidth="1"/>
    <col min="3" max="3" width="53.6640625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bestFit="1" customWidth="1"/>
    <col min="8" max="8" width="4.83203125" style="6" bestFit="1" customWidth="1"/>
    <col min="9" max="9" width="24.6640625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-8.75</v>
      </c>
    </row>
    <row r="2" spans="1:21" ht="18.75" customHeight="1">
      <c r="A2" s="538" t="s">
        <v>2930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",5,".",77)</f>
        <v>katalóg kovania 2018 str. 5.77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25.5" customHeight="1">
      <c r="A4" s="10" t="str">
        <f>+System10!A4</f>
        <v>VNÚTORNÝ ROZMER SKRINE:</v>
      </c>
      <c r="B4" s="56"/>
      <c r="C4" s="56"/>
      <c r="D4" s="22">
        <v>4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 t="str">
        <f>IF(D4=4,texty!A227,"")</f>
        <v> Zvolili ste 4 krídla, zvoľte počet preložení (2 alebo 3)</v>
      </c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+B4-35</f>
        <v>-35</v>
      </c>
      <c r="C7" s="59">
        <f>+((C4-3+34*(D4-1))/D4+IF(AND(D4=4,D6=2),L1,0))</f>
        <v>24.75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texty!$A$48</f>
        <v>rozmer výplne 18mm:</v>
      </c>
      <c r="B8" s="57">
        <f>+B7-60</f>
        <v>-95</v>
      </c>
      <c r="C8" s="59">
        <f>+C7-37</f>
        <v>-12.25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-27.25</v>
      </c>
      <c r="R8" s="5">
        <f>FLOOR(1500/Q8,1)</f>
        <v>-56</v>
      </c>
      <c r="S8" s="5">
        <f>FLOOR(2000/Q8,1)</f>
        <v>-74</v>
      </c>
      <c r="T8" s="5">
        <f>FLOOR(3000/Q8,1)</f>
        <v>-111</v>
      </c>
    </row>
    <row r="9" spans="1:21" ht="12.75" customHeight="1">
      <c r="A9" s="10" t="str">
        <f>+System10!A9</f>
        <v>rozmer zrkadla / skla</v>
      </c>
      <c r="B9" s="57">
        <f>+B8</f>
        <v>-95</v>
      </c>
      <c r="C9" s="59">
        <f>+C8+16</f>
        <v>3.75</v>
      </c>
      <c r="D9" s="8"/>
      <c r="E9" s="8"/>
      <c r="F9" s="50" t="str">
        <f>texty!$A$41</f>
        <v>alebo sklo zabezpečiť ochrannou fóliou</v>
      </c>
      <c r="G9" s="6"/>
      <c r="K9" s="37">
        <f>C10*D4</f>
        <v>-129</v>
      </c>
      <c r="L9" s="36">
        <f>(D4+1)*5</f>
        <v>25</v>
      </c>
      <c r="P9" s="5">
        <v>2</v>
      </c>
      <c r="Q9" s="164">
        <f t="shared" ref="Q9:Q13" si="0">Q8+$C$10+5</f>
        <v>-54.5</v>
      </c>
      <c r="R9" s="5">
        <f>(1500-C10)*R19</f>
        <v>-1532.25</v>
      </c>
      <c r="S9" s="5">
        <f>(2000-C10)*S19</f>
        <v>-2032.25</v>
      </c>
      <c r="T9" s="5">
        <f>(3000-C10)*T19</f>
        <v>-3032.25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+C7-57</f>
        <v>-32.25</v>
      </c>
      <c r="D10" s="8"/>
      <c r="E10" s="8"/>
      <c r="F10" s="3" t="str">
        <f>texty!$A$44</f>
        <v>Maximálna hmotnosť krídla je 35 kg</v>
      </c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-81.75</v>
      </c>
    </row>
    <row r="11" spans="1:21" ht="12.75" customHeight="1">
      <c r="A11" s="10" t="str">
        <f>+System10!A11</f>
        <v>Horný/spodný profil</v>
      </c>
      <c r="B11" s="57"/>
      <c r="C11" s="194">
        <f>+C4</f>
        <v>0</v>
      </c>
      <c r="D11" s="8"/>
      <c r="E11" s="8"/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-109</v>
      </c>
    </row>
    <row r="12" spans="1:21" ht="12.75" customHeight="1">
      <c r="A12" s="10" t="str">
        <f>+System10!A12</f>
        <v>úchytková lišta</v>
      </c>
      <c r="B12" s="502">
        <f>+B7</f>
        <v>-35</v>
      </c>
      <c r="C12" s="503"/>
      <c r="D12" s="8"/>
      <c r="E12" s="8"/>
      <c r="F12" s="6"/>
      <c r="G12" s="6"/>
      <c r="K12" s="6">
        <f>C10*(D4-1)+(D4*5)</f>
        <v>-76.75</v>
      </c>
      <c r="L12" s="5">
        <f>IF(K12&lt;1500,1500,IF(K12&lt;2000,2000,IF(K12&lt;3000,3000,3000)))</f>
        <v>1500</v>
      </c>
      <c r="M12" s="5">
        <f>L12-K12</f>
        <v>1576.75</v>
      </c>
      <c r="P12" s="5">
        <v>5</v>
      </c>
      <c r="Q12" s="164">
        <f t="shared" si="0"/>
        <v>-136.25</v>
      </c>
    </row>
    <row r="13" spans="1:21" ht="26">
      <c r="A13" s="644" t="str">
        <f>IF(SUM(D50:D51)&gt;0,texty!A247,"")</f>
        <v/>
      </c>
      <c r="B13" s="644"/>
      <c r="C13" s="497" t="str">
        <f>texty!A78</f>
        <v>dodatočné odpočty výšky vypočítaných výplní pri použití deliacich profilov výplne:</v>
      </c>
      <c r="D13" s="8"/>
      <c r="E13" s="8"/>
      <c r="F13" s="6"/>
      <c r="G13" s="6"/>
      <c r="K13" s="35">
        <f>C10+10</f>
        <v>-22.25</v>
      </c>
      <c r="L13" s="5">
        <f>IF(M12&gt;=0,IF(K13&lt;1500,1500,IF(K13&lt;2000,2000,IF(K13&lt;3000,3000,"jiné"))),IF((K13+C10)&lt;1500,1500,IF((K13+C10)&lt;2000,2000,IF((K13+C10)&lt;3000,3000,"jiné"))))</f>
        <v>1500</v>
      </c>
      <c r="M13" s="5">
        <f>L13-K13</f>
        <v>1522.25</v>
      </c>
      <c r="P13" s="5">
        <v>6</v>
      </c>
      <c r="Q13" s="164">
        <f t="shared" si="0"/>
        <v>-163.5</v>
      </c>
    </row>
    <row r="14" spans="1:21" ht="13">
      <c r="A14" s="644"/>
      <c r="B14" s="644"/>
      <c r="C14" s="497"/>
      <c r="D14" s="8"/>
      <c r="E14" s="8"/>
      <c r="F14" s="6"/>
      <c r="G14" s="6"/>
      <c r="K14" s="35"/>
      <c r="Q14" s="164"/>
    </row>
    <row r="15" spans="1:21" ht="20" customHeight="1">
      <c r="A15" s="644" t="str">
        <f>IF(SUM(D52:D53)&gt;0,texty!A249,"")</f>
        <v/>
      </c>
      <c r="B15" s="644"/>
      <c r="C15" s="497"/>
      <c r="D15" s="8"/>
      <c r="E15" s="8"/>
      <c r="F15" s="6"/>
      <c r="G15" s="6"/>
      <c r="K15" s="35"/>
      <c r="Q15" s="164"/>
    </row>
    <row r="16" spans="1:21" ht="29.25" customHeight="1">
      <c r="A16" s="644"/>
      <c r="B16" s="644"/>
      <c r="C16" s="497"/>
      <c r="D16" s="8"/>
      <c r="E16" s="8"/>
      <c r="F16" s="6"/>
      <c r="G16" s="6"/>
      <c r="K16" s="35"/>
      <c r="Q16" s="164"/>
    </row>
    <row r="17" spans="1:21" ht="13">
      <c r="A17" s="7"/>
      <c r="B17" s="58"/>
      <c r="C17" s="497"/>
      <c r="D17" s="8"/>
      <c r="E17" s="8"/>
      <c r="F17" s="6"/>
      <c r="G17" s="6"/>
      <c r="K17" s="35"/>
      <c r="Q17" s="164"/>
    </row>
    <row r="18" spans="1:21" ht="12.75" customHeight="1">
      <c r="A18" s="7"/>
      <c r="B18" s="8"/>
      <c r="C18" s="12"/>
      <c r="D18" s="8"/>
      <c r="E18" s="8"/>
      <c r="F18" s="6"/>
      <c r="G18" s="6"/>
      <c r="K18" s="6"/>
      <c r="L18" s="5">
        <f>SUM(L12:L13)</f>
        <v>3000</v>
      </c>
      <c r="M18" s="5">
        <f>SUM(M12:M13)</f>
        <v>3099</v>
      </c>
      <c r="P18" s="5">
        <v>7</v>
      </c>
      <c r="Q18" s="164">
        <f>Q13+$C$10+5</f>
        <v>-190.75</v>
      </c>
    </row>
    <row r="19" spans="1:21" ht="12.75" customHeight="1">
      <c r="B19" s="8"/>
      <c r="C19" s="12"/>
      <c r="D19" s="8"/>
      <c r="E19" s="8"/>
      <c r="F19" s="6"/>
      <c r="G19" s="6"/>
      <c r="K19" s="6"/>
      <c r="L19" s="5">
        <f>L18-C4</f>
        <v>3000</v>
      </c>
      <c r="P19" s="5" t="s">
        <v>650</v>
      </c>
      <c r="R19" s="5">
        <f>FLOOR($D$4/R8,1)</f>
        <v>-1</v>
      </c>
      <c r="S19" s="5">
        <f>FLOOR($D$4/S8,1)</f>
        <v>-1</v>
      </c>
      <c r="T19" s="5">
        <f>FLOOR($D$4/T8,1)</f>
        <v>-1</v>
      </c>
    </row>
    <row r="20" spans="1:21" ht="12.75" customHeight="1">
      <c r="A20" s="7"/>
      <c r="B20" s="8"/>
      <c r="C20" s="12"/>
      <c r="D20" s="8"/>
      <c r="E20" s="8"/>
      <c r="F20" s="6"/>
      <c r="G20" s="6"/>
      <c r="K20" s="6"/>
    </row>
    <row r="21" spans="1:21" ht="14.25" customHeight="1">
      <c r="A21" s="147"/>
      <c r="B21" s="498" t="str">
        <f>texty!A242</f>
        <v>dilatácia 4 mm</v>
      </c>
      <c r="C21" s="27"/>
      <c r="D21" s="8"/>
      <c r="E21" s="8"/>
      <c r="F21" s="6"/>
      <c r="G21" s="6"/>
      <c r="K21" s="6"/>
    </row>
    <row r="22" spans="1:21" ht="16.5" customHeight="1">
      <c r="A22" s="217"/>
      <c r="B22" s="8"/>
      <c r="C22" s="8"/>
      <c r="E22" s="8"/>
      <c r="F22" s="6"/>
      <c r="G22" s="6"/>
      <c r="K22" s="6"/>
      <c r="L22" s="6"/>
      <c r="Q22" s="5" t="s">
        <v>694</v>
      </c>
      <c r="R22" s="5" t="s">
        <v>693</v>
      </c>
      <c r="S22" s="5">
        <v>1500</v>
      </c>
      <c r="T22" s="5">
        <v>2000</v>
      </c>
      <c r="U22" s="5">
        <v>3000</v>
      </c>
    </row>
    <row r="23" spans="1:21" ht="16.5" customHeight="1">
      <c r="A23" s="7"/>
      <c r="C23" s="8"/>
      <c r="D23" s="13"/>
      <c r="E23" s="8"/>
      <c r="F23" s="6"/>
      <c r="G23" s="6"/>
      <c r="K23" s="6"/>
      <c r="P23" s="5">
        <v>1</v>
      </c>
      <c r="Q23" s="5">
        <f>R8</f>
        <v>-56</v>
      </c>
      <c r="R23" s="5" t="str">
        <f>IF(Q23&gt;=D4,1,"")</f>
        <v/>
      </c>
      <c r="S23" s="168" t="str">
        <f>IF(R23=1,1,"")</f>
        <v/>
      </c>
      <c r="T23" s="168"/>
      <c r="U23" s="168"/>
    </row>
    <row r="24" spans="1:21" ht="12.75" customHeight="1">
      <c r="A24" s="7"/>
      <c r="B24" s="8"/>
      <c r="C24" s="8"/>
      <c r="D24" s="8"/>
      <c r="E24" s="8"/>
      <c r="F24" s="6"/>
      <c r="G24" s="6"/>
      <c r="K24" s="3"/>
      <c r="P24" s="5">
        <v>2</v>
      </c>
      <c r="Q24" s="5">
        <f>S8</f>
        <v>-74</v>
      </c>
      <c r="R24" s="5" t="str">
        <f>IF(Q24&gt;=D4,IF(R23=1,"",1),"")</f>
        <v/>
      </c>
      <c r="S24" s="168"/>
      <c r="T24" s="168" t="str">
        <f>IF(R24=1,1,"")</f>
        <v/>
      </c>
      <c r="U24" s="168"/>
    </row>
    <row r="25" spans="1:21" ht="12.75" customHeight="1">
      <c r="A25" s="7"/>
      <c r="B25" s="8"/>
      <c r="C25" s="8"/>
      <c r="D25" s="8"/>
      <c r="E25" s="8"/>
      <c r="F25" s="6"/>
      <c r="G25" s="6"/>
      <c r="P25" s="5">
        <v>3</v>
      </c>
      <c r="Q25" s="5">
        <f>T8</f>
        <v>-111</v>
      </c>
      <c r="R25" s="5" t="str">
        <f>IF(Q25&gt;=D4,IF(Q24&gt;=D4,"",1),"")</f>
        <v/>
      </c>
      <c r="U25" s="168" t="str">
        <f>IF(R25=1,1,"")</f>
        <v/>
      </c>
    </row>
    <row r="26" spans="1:21" ht="12.75" customHeight="1">
      <c r="A26" s="7"/>
      <c r="B26" s="8"/>
      <c r="C26" s="8"/>
      <c r="D26" s="8"/>
      <c r="E26" s="8"/>
      <c r="F26" s="6"/>
      <c r="G26" s="6"/>
      <c r="K26" s="5" t="str">
        <f>CONCATENATE(M26,"-",$O$7)</f>
        <v xml:space="preserve">1500-strieborná </v>
      </c>
      <c r="L26" s="6">
        <f>SUM(S23:S35)</f>
        <v>0</v>
      </c>
      <c r="M26" s="5">
        <v>1500</v>
      </c>
      <c r="O26" s="5" t="s">
        <v>652</v>
      </c>
      <c r="P26" s="167" t="s">
        <v>653</v>
      </c>
      <c r="Q26" s="5">
        <f>R8+S8</f>
        <v>-130</v>
      </c>
      <c r="R26" s="5" t="str">
        <f>IF(Q26&gt;=D4,IF(SUM(R23:R25)&gt;0,"",1),"")</f>
        <v/>
      </c>
      <c r="S26" s="168" t="str">
        <f>IF(R26=1,1,"")</f>
        <v/>
      </c>
      <c r="T26" s="168" t="str">
        <f>IF(R26=1,1,"")</f>
        <v/>
      </c>
    </row>
    <row r="27" spans="1:21" ht="12.75" customHeight="1">
      <c r="A27" s="7"/>
      <c r="B27" s="8"/>
      <c r="D27" s="8"/>
      <c r="E27" s="8"/>
      <c r="F27" s="8"/>
      <c r="G27" s="131" t="str">
        <f>+System10!G25</f>
        <v>partnerská zľava:</v>
      </c>
      <c r="K27" s="5" t="str">
        <f>CONCATENATE(M27,"-",$O$7)</f>
        <v xml:space="preserve">2000-strieborná </v>
      </c>
      <c r="L27" s="6">
        <f>SUM(T23:T35)</f>
        <v>0</v>
      </c>
      <c r="M27" s="5">
        <v>2000</v>
      </c>
      <c r="P27" s="5" t="s">
        <v>689</v>
      </c>
      <c r="Q27" s="5">
        <f>S8+S8</f>
        <v>-148</v>
      </c>
      <c r="R27" s="5" t="str">
        <f>IF(Q27&gt;=D4,IF(SUM(R23:R26)&gt;0,"",1),"")</f>
        <v/>
      </c>
      <c r="T27" s="168" t="str">
        <f>IF(R27=1,2,"")</f>
        <v/>
      </c>
    </row>
    <row r="28" spans="1:21" ht="12.75" customHeight="1">
      <c r="A28" s="14" t="str">
        <f>+System10!A26</f>
        <v>Objednávacie kódy, ceny:</v>
      </c>
      <c r="B28" s="8"/>
      <c r="D28" s="8"/>
      <c r="E28" s="8"/>
      <c r="F28" s="8"/>
      <c r="G28" s="143">
        <f>profil!C15</f>
        <v>0</v>
      </c>
      <c r="H28" s="28"/>
      <c r="K28" s="5" t="str">
        <f>CONCATENATE(M28,"-",$O$7)</f>
        <v xml:space="preserve">3000-strieborná </v>
      </c>
      <c r="L28" s="6">
        <f>SUM(U23:U35)</f>
        <v>0</v>
      </c>
      <c r="M28" s="5">
        <v>3000</v>
      </c>
      <c r="N28" s="165"/>
      <c r="P28" s="5" t="s">
        <v>654</v>
      </c>
      <c r="Q28" s="5">
        <f>R8+T8</f>
        <v>-167</v>
      </c>
      <c r="R28" s="5" t="str">
        <f>IF(Q28&gt;=D4,IF(SUM(R23:R27)&gt;0,"",1),"")</f>
        <v/>
      </c>
      <c r="S28" s="168" t="str">
        <f>IF(R28=1,1,"")</f>
        <v/>
      </c>
      <c r="U28" s="168" t="str">
        <f>IF(R28=1,1,"")</f>
        <v/>
      </c>
    </row>
    <row r="29" spans="1:21" ht="12.75" customHeight="1">
      <c r="A29" s="7"/>
      <c r="B29" s="19" t="str">
        <f>+System10!B27</f>
        <v>kód</v>
      </c>
      <c r="C29" s="18" t="str">
        <f>+System10!C27</f>
        <v>názov</v>
      </c>
      <c r="D29" s="19" t="str">
        <f>+System10!D27</f>
        <v>ks</v>
      </c>
      <c r="E29" s="19" t="str">
        <f>+System10!E27</f>
        <v>cena/ks</v>
      </c>
      <c r="F29" s="19" t="str">
        <f>+System10!F27</f>
        <v>cena celkom</v>
      </c>
      <c r="G29" s="20" t="str">
        <f>+System10!G27</f>
        <v>celkom netto:</v>
      </c>
      <c r="I29" s="18" t="str">
        <f>texty!A29</f>
        <v>Poznámka:</v>
      </c>
      <c r="J29" s="18"/>
      <c r="K29" s="6"/>
      <c r="L29" s="5">
        <f>COUNT(L26,L27,L28)</f>
        <v>3</v>
      </c>
      <c r="M29" s="165"/>
      <c r="N29" s="165"/>
      <c r="P29" s="5" t="s">
        <v>655</v>
      </c>
      <c r="Q29" s="5">
        <f>S8+T8</f>
        <v>-185</v>
      </c>
      <c r="R29" s="5" t="str">
        <f>IF(Q29&gt;=D4,IF(SUM(R23:R28)&gt;0,"",1),"")</f>
        <v/>
      </c>
      <c r="T29" s="168" t="str">
        <f>IF(R29=1,1,"")</f>
        <v/>
      </c>
      <c r="U29" s="168" t="str">
        <f>IF(R29=1,1,"")</f>
        <v/>
      </c>
    </row>
    <row r="30" spans="1:21" ht="12.75" customHeight="1">
      <c r="A30" s="7" t="str">
        <f>+System10!A28</f>
        <v>Horný profil:</v>
      </c>
      <c r="B30" s="16">
        <f>+VLOOKUP(N5,data!$C$226:$D$239,2,0)</f>
        <v>349796</v>
      </c>
      <c r="C30" s="25" t="str">
        <f>+VLOOKUP(B30,cennik!$A:$G,2,FALSE)</f>
        <v/>
      </c>
      <c r="D30" s="17">
        <v>1</v>
      </c>
      <c r="E30" s="92">
        <f>+VLOOKUP(B30,cennik!$A:$G,3,FALSE)</f>
        <v>14.659420000000001</v>
      </c>
      <c r="F30" s="92">
        <f t="shared" ref="F30:F34" si="1">+E30*D30</f>
        <v>14.659420000000001</v>
      </c>
      <c r="G30" s="93">
        <f t="shared" ref="G30:G34" si="2">+F30*(100-$G$28)/100</f>
        <v>14.659420000000001</v>
      </c>
      <c r="H30" s="6" t="str">
        <f>cennik!$B$2</f>
        <v>EUR</v>
      </c>
      <c r="I30" s="483" t="str">
        <f>IFERROR(IF((VLOOKUP(B30,cennik!A:L,12,0))="O",texty!$A$250,""),"")</f>
        <v>Na objednávku</v>
      </c>
      <c r="J30" s="196">
        <f>IF(D30&gt;0,IF(VLOOKUP(B30,cennik!A:L,12,FALSE)="O",1,""),"")</f>
        <v>1</v>
      </c>
      <c r="K30" s="6"/>
      <c r="L30" s="165"/>
      <c r="M30" s="165"/>
      <c r="N30" s="165"/>
      <c r="P30" s="5" t="s">
        <v>690</v>
      </c>
      <c r="Q30" s="5">
        <f>T8+T8</f>
        <v>-222</v>
      </c>
      <c r="R30" s="5" t="str">
        <f>IF(Q30&gt;=D4,IF(SUM(R23:R29)&gt;0,"",1),"")</f>
        <v/>
      </c>
      <c r="U30" s="168" t="str">
        <f>IF(R30=1,2,"")</f>
        <v/>
      </c>
    </row>
    <row r="31" spans="1:21" ht="12.75" customHeight="1">
      <c r="A31" s="7" t="str">
        <f>+System10!A29</f>
        <v>spodný profil:</v>
      </c>
      <c r="B31" s="16">
        <f>+VLOOKUP(N5,data!$C$242:$D$255,2,0)</f>
        <v>349810</v>
      </c>
      <c r="C31" s="25" t="str">
        <f>+VLOOKUP(B31,cennik!$A:$G,2,FALSE)</f>
        <v/>
      </c>
      <c r="D31" s="17">
        <v>1</v>
      </c>
      <c r="E31" s="92">
        <f>+VLOOKUP(B31,cennik!$A:$G,3,FALSE)</f>
        <v>7.5749399999999998</v>
      </c>
      <c r="F31" s="92">
        <f t="shared" si="1"/>
        <v>7.5749399999999998</v>
      </c>
      <c r="G31" s="93">
        <f t="shared" si="2"/>
        <v>7.5749400000000007</v>
      </c>
      <c r="H31" s="6" t="str">
        <f>cennik!$B$2</f>
        <v>EUR</v>
      </c>
      <c r="I31" s="483" t="str">
        <f>IFERROR(IF((VLOOKUP(B31,cennik!A:L,12,0))="O",texty!$A$250,""),"")</f>
        <v>Na objednávku</v>
      </c>
      <c r="J31" s="196">
        <f>IF(D31&gt;0,IF(VLOOKUP(B31,cennik!A:L,12,FALSE)="O",1,""),"")</f>
        <v>1</v>
      </c>
      <c r="K31" s="6" t="s">
        <v>656</v>
      </c>
      <c r="L31" s="5" t="str">
        <f>IF(L26=0,IF(L27=0,K28,K27),K26)</f>
        <v xml:space="preserve">3000-strieborná </v>
      </c>
      <c r="M31" s="165">
        <f>IF(L31=K26,L26,IF(L31=K27,L27,IF(L31=K28,L28,"chyba")))</f>
        <v>0</v>
      </c>
      <c r="N31" s="165"/>
      <c r="O31" s="165"/>
      <c r="P31" s="5" t="s">
        <v>691</v>
      </c>
      <c r="Q31" s="5">
        <f>R8+R8+R8</f>
        <v>-168</v>
      </c>
      <c r="R31" s="5" t="str">
        <f>IF(Q31&gt;=D4,IF(SUM(R23:R30)&gt;0,"",1),"")</f>
        <v/>
      </c>
      <c r="S31" s="168" t="str">
        <f>IF(R31=1,3,"")</f>
        <v/>
      </c>
    </row>
    <row r="32" spans="1:21" ht="12.75" customHeight="1">
      <c r="A32" s="7" t="str">
        <f>texty!$A$210</f>
        <v>záslepko spodného vedenia</v>
      </c>
      <c r="B32" s="16">
        <v>216362</v>
      </c>
      <c r="C32" s="25" t="str">
        <f>+VLOOKUP(B32,cennik!$A:$G,2,FALSE)</f>
        <v>SEVROLL záslepka spodného vedenia Simple</v>
      </c>
      <c r="D32" s="17">
        <f>CEILING(C4/1000,1)</f>
        <v>0</v>
      </c>
      <c r="E32" s="92">
        <f>+VLOOKUP(B32,cennik!$A:$G,3,FALSE)</f>
        <v>1.1716599999999999</v>
      </c>
      <c r="F32" s="92">
        <f t="shared" si="1"/>
        <v>0</v>
      </c>
      <c r="G32" s="93">
        <f t="shared" si="2"/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M32" s="165"/>
      <c r="N32" s="165"/>
      <c r="O32" s="165"/>
      <c r="S32" s="168"/>
    </row>
    <row r="33" spans="1:21" ht="12.75" customHeight="1">
      <c r="A33" s="7" t="str">
        <f>+System10!A31</f>
        <v>horné vozíky (sady)</v>
      </c>
      <c r="B33" s="16">
        <v>349732</v>
      </c>
      <c r="C33" s="25" t="str">
        <f>+VLOOKUP(B33,cennik!$A:$G,2,FALSE)</f>
        <v>SEVROLL horný vozík Blue(18mm)rámový (L+P)</v>
      </c>
      <c r="D33" s="17">
        <f>+D4</f>
        <v>4</v>
      </c>
      <c r="E33" s="92">
        <f>+VLOOKUP(B33,cennik!$A:$G,3,FALSE)</f>
        <v>3.8147199999999999</v>
      </c>
      <c r="F33" s="92">
        <f t="shared" si="1"/>
        <v>15.25888</v>
      </c>
      <c r="G33" s="93">
        <f t="shared" si="2"/>
        <v>15.25888</v>
      </c>
      <c r="H33" s="6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 t="s">
        <v>657</v>
      </c>
      <c r="L33" s="5" t="str">
        <f>IF(L31=K28,"jiné",IF(L31=K26,IF(L27&lt;&gt;0,K27,IF(L28&lt;&gt;0,K28,"jiné")),IF(L28&lt;&gt;0,K28,"jiné")))</f>
        <v>jiné</v>
      </c>
      <c r="M33" s="165">
        <f>IF(L33=K27,L27,IF(L33=K28,L28,IF(L33=K29,L29,0)))</f>
        <v>0</v>
      </c>
      <c r="N33" s="165"/>
      <c r="O33" s="165"/>
      <c r="P33" s="5" t="s">
        <v>658</v>
      </c>
      <c r="Q33" s="5">
        <f>R8+2*S8</f>
        <v>-204</v>
      </c>
      <c r="R33" s="5" t="str">
        <f>IF(Q33&gt;=D4,IF(SUM(R23:R31)&gt;0,"",1),"")</f>
        <v/>
      </c>
      <c r="S33" s="168" t="str">
        <f>IF(R33=1,1,"")</f>
        <v/>
      </c>
      <c r="T33" s="168" t="str">
        <f>IF(R33=1,2,"")</f>
        <v/>
      </c>
    </row>
    <row r="34" spans="1:21" ht="12.75" customHeight="1">
      <c r="A34" s="7" t="str">
        <f>+System10!A32</f>
        <v>spodné vozíky (sada)</v>
      </c>
      <c r="B34" s="16">
        <v>229446</v>
      </c>
      <c r="C34" s="25" t="str">
        <f>+VLOOKUP(B34,cennik!$A:$G,2,FALSE)</f>
        <v>SEVROLL spodný vozík Simple/Blue V (rámový s</v>
      </c>
      <c r="D34" s="17">
        <f>+D4</f>
        <v>4</v>
      </c>
      <c r="E34" s="92">
        <f>+VLOOKUP(B34,cennik!$A:$G,3,FALSE)</f>
        <v>2.86104</v>
      </c>
      <c r="F34" s="92">
        <f t="shared" si="1"/>
        <v>11.44416</v>
      </c>
      <c r="G34" s="93">
        <f t="shared" si="2"/>
        <v>11.44416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6"/>
      <c r="L34" s="165"/>
      <c r="M34" s="165"/>
      <c r="N34" s="165"/>
      <c r="O34" s="165"/>
      <c r="P34" s="5" t="s">
        <v>692</v>
      </c>
      <c r="Q34" s="5">
        <f>S8+S8+S8</f>
        <v>-222</v>
      </c>
      <c r="R34" s="5" t="str">
        <f>IF(Q34&gt;=D4,IF(SUM(R23:R33)&gt;0,"",1),"")</f>
        <v/>
      </c>
      <c r="T34" s="168" t="str">
        <f>IF(R34=1,3,"")</f>
        <v/>
      </c>
    </row>
    <row r="35" spans="1:21" ht="12.75" customHeight="1">
      <c r="A35" s="7" t="str">
        <f>+System10!A33</f>
        <v>dorazový kartáč</v>
      </c>
      <c r="B35" s="16">
        <v>98067</v>
      </c>
      <c r="C35" s="25" t="str">
        <f>+VLOOKUP(B35,cennik!$A:$G,2,FALSE)</f>
        <v>SEVROLL dorazový kartáč zásuvný 14,5x4mm</v>
      </c>
      <c r="D35" s="17">
        <f>CEILING((B4*D4*2/1000),1)</f>
        <v>0</v>
      </c>
      <c r="E35" s="92">
        <f>+VLOOKUP(B35,cennik!$A:$G,3,FALSE)</f>
        <v>0.17649000000000001</v>
      </c>
      <c r="F35" s="92">
        <f t="shared" ref="F35:F41" si="3">+E35*D35</f>
        <v>0</v>
      </c>
      <c r="G35" s="93">
        <f t="shared" ref="G35:G41" si="4">+F35*(100-$G$28)/100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6" t="str">
        <f>CONCATENATE(3000,"-",E4)</f>
        <v xml:space="preserve">3000-strieborná </v>
      </c>
      <c r="L35" s="165"/>
      <c r="M35" s="165"/>
      <c r="N35" s="165"/>
      <c r="O35" s="165"/>
      <c r="P35" s="5" t="s">
        <v>659</v>
      </c>
      <c r="Q35" s="5">
        <f>R8+2*T8</f>
        <v>-278</v>
      </c>
      <c r="R35" s="5" t="str">
        <f>IF(Q35&gt;=D4,IF(SUM(R23:R34)&gt;0,"",1),"")</f>
        <v/>
      </c>
      <c r="S35" s="168" t="str">
        <f>IF(R35=1,1,"")</f>
        <v/>
      </c>
      <c r="U35" s="168" t="str">
        <f>IF(R35=1,2,"")</f>
        <v/>
      </c>
    </row>
    <row r="36" spans="1:21" ht="12.75" customHeight="1">
      <c r="A36" s="7" t="str">
        <f>+System10!A34</f>
        <v>úchytková lišta</v>
      </c>
      <c r="B36" s="16">
        <f>+VLOOKUP(O7,data!$C$448:$D$450,2,0)</f>
        <v>349474</v>
      </c>
      <c r="C36" s="25" t="str">
        <f>+VLOOKUP(B36,cennik!$A:$G,2,FALSE)</f>
        <v>SEVROLL Era úchytová lišta 18mm 2,70m strieborná</v>
      </c>
      <c r="D36" s="17">
        <f>IF(B12&lt;=1347,D4*2/2,D4*2)</f>
        <v>4</v>
      </c>
      <c r="E36" s="92">
        <f>+VLOOKUP(B36,cennik!$A:$G,3,FALSE)</f>
        <v>15.504110000000001</v>
      </c>
      <c r="F36" s="92">
        <f t="shared" si="3"/>
        <v>62.016440000000003</v>
      </c>
      <c r="G36" s="93">
        <f t="shared" si="4"/>
        <v>62.016440000000003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 t="s">
        <v>988</v>
      </c>
    </row>
    <row r="37" spans="1:21" ht="12.75" customHeight="1">
      <c r="A37" s="7" t="str">
        <f>+System10!A35</f>
        <v>spojovacia skrutka</v>
      </c>
      <c r="B37" s="6">
        <v>346726</v>
      </c>
      <c r="C37" s="25" t="str">
        <f>+VLOOKUP(B37,cennik!$A:$G,2,FALSE)</f>
        <v>SEVROLL šroubovrut Blue 6,3*45</v>
      </c>
      <c r="D37" s="17">
        <f>+D4*4</f>
        <v>16</v>
      </c>
      <c r="E37" s="92">
        <f>+VLOOKUP(B37,cennik!$A:$G,3,FALSE)</f>
        <v>0.16349</v>
      </c>
      <c r="F37" s="92">
        <f t="shared" si="3"/>
        <v>2.6158399999999999</v>
      </c>
      <c r="G37" s="93">
        <f t="shared" si="4"/>
        <v>2.6158399999999999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162">
        <f>(C10*D4)+(D4-1)*5</f>
        <v>-114</v>
      </c>
    </row>
    <row r="38" spans="1:21" ht="12.75" customHeight="1">
      <c r="A38" s="7" t="str">
        <f>+System10!A36</f>
        <v>horný profil rámu (vodiaca lišta)</v>
      </c>
      <c r="B38" s="16">
        <f>+VLOOKUP(L31,data!C303:D311,2,0)</f>
        <v>222571</v>
      </c>
      <c r="C38" s="25" t="str">
        <f>+VLOOKUP(B38,cennik!$A:$G,2,FALSE)</f>
        <v>SEVROLL hor.vod.lišta Simple 3m(18mm) str.</v>
      </c>
      <c r="D38" s="65">
        <f>M31</f>
        <v>0</v>
      </c>
      <c r="E38" s="92">
        <f>+VLOOKUP(B38,cennik!$A:$G,3,FALSE)</f>
        <v>11.880129999999999</v>
      </c>
      <c r="F38" s="92">
        <f t="shared" si="3"/>
        <v>0</v>
      </c>
      <c r="G38" s="93">
        <f t="shared" si="4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/>
    </row>
    <row r="39" spans="1:21" ht="12.75" customHeight="1">
      <c r="A39" s="7" t="str">
        <f>+System10!$A$36</f>
        <v>horný profil rámu (vodiaca lišta)</v>
      </c>
      <c r="B39" s="6" t="str">
        <f>IF(L33&lt;&gt;"jiné",+VLOOKUP(L33,data!C303:D311,2,0),"")</f>
        <v/>
      </c>
      <c r="C39" s="38" t="str">
        <f>IF(L33&lt;&gt;"jiné",+VLOOKUP(B39,cennik!$A$3:$G$701,2,FALSE),texty!$A$2)</f>
        <v>druhá lišta nieje potrebná</v>
      </c>
      <c r="D39" s="65">
        <f>M33</f>
        <v>0</v>
      </c>
      <c r="E39" s="94">
        <f>IF(L33&lt;&gt;"jiné",+VLOOKUP(B39,cennik!$A:$G,3,FALSE),0)</f>
        <v>0</v>
      </c>
      <c r="F39" s="92">
        <f t="shared" si="3"/>
        <v>0</v>
      </c>
      <c r="G39" s="93">
        <f t="shared" si="4"/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>
        <f>+System10!L22</f>
        <v>0</v>
      </c>
    </row>
    <row r="40" spans="1:21" ht="12.75" customHeight="1">
      <c r="A40" s="7" t="str">
        <f>+System10!A38</f>
        <v>horizontálny spodný profil rámu</v>
      </c>
      <c r="B40" s="6">
        <f>+VLOOKUP(L31,data!$C$380:$D$388,2,0)</f>
        <v>222572</v>
      </c>
      <c r="C40" s="25" t="str">
        <f>+VLOOKUP(B40,cennik!$A:$G,2,FALSE)</f>
        <v>SEVROLL spod.krycia lišta Simple 3m(18mm)str</v>
      </c>
      <c r="D40" s="65">
        <f>M31</f>
        <v>0</v>
      </c>
      <c r="E40" s="92">
        <f>+VLOOKUP(B40,cennik!$A:$G,3,FALSE)</f>
        <v>23.26979</v>
      </c>
      <c r="F40" s="92">
        <f t="shared" si="3"/>
        <v>0</v>
      </c>
      <c r="G40" s="93">
        <f t="shared" si="4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21" ht="12.75" customHeight="1">
      <c r="A41" s="7" t="str">
        <f>+System10!A39</f>
        <v>horizontálny spodný profil rámu</v>
      </c>
      <c r="B41" s="6" t="str">
        <f>IF(L33&lt;&gt;"jiné",VLOOKUP(L33,data!$C$380:$D$388,2,0),"")</f>
        <v/>
      </c>
      <c r="C41" s="25" t="str">
        <f>IF(L33&lt;&gt;"jiné",+VLOOKUP(B41,cennik!$A$3:$G$701,2,FALSE),texty!A2)</f>
        <v>druhá lišta nieje potrebná</v>
      </c>
      <c r="D41" s="65">
        <f>M33</f>
        <v>0</v>
      </c>
      <c r="E41" s="94">
        <f>IF(L33&lt;&gt;"jiné",+VLOOKUP(B39,cennik!$A:$G,3,FALSE),0)</f>
        <v>0</v>
      </c>
      <c r="F41" s="92">
        <f t="shared" si="3"/>
        <v>0</v>
      </c>
      <c r="G41" s="93">
        <f t="shared" si="4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 t="str">
        <f>+System10!L24</f>
        <v xml:space="preserve">1700-strieborná </v>
      </c>
    </row>
    <row r="42" spans="1:21" ht="12.75" customHeight="1">
      <c r="E42" s="95"/>
      <c r="F42" s="95"/>
      <c r="G42" s="95"/>
      <c r="I42" s="483" t="str">
        <f>IFERROR(IF((VLOOKUP(B42,cennik!A:L,12,0))="O",texty!$A$250,""),"")</f>
        <v/>
      </c>
      <c r="J42" s="196" t="str">
        <f>IF(D42&gt;0,IF(VLOOKUP(B42,cennik!A:L,12,FALSE)="O",1,""),"")</f>
        <v/>
      </c>
      <c r="K42" s="3"/>
    </row>
    <row r="43" spans="1:21" ht="12.75" customHeight="1">
      <c r="A43" s="14" t="str">
        <f>texty!$A$66</f>
        <v>Voliteľné príslušenstvo:</v>
      </c>
      <c r="B43" s="15"/>
      <c r="D43" s="26" t="str">
        <f>System10!$D$41</f>
        <v>zadajte počet:</v>
      </c>
      <c r="E43" s="96"/>
      <c r="F43" s="96"/>
      <c r="G43" s="95"/>
      <c r="I43" s="483" t="str">
        <f>IFERROR(IF((VLOOKUP(B43,cennik!A:L,12,0))="O",texty!$A$250,""),"")</f>
        <v/>
      </c>
      <c r="J43" s="196"/>
      <c r="K43" s="3"/>
    </row>
    <row r="44" spans="1:21" ht="12.75" customHeight="1">
      <c r="A44" s="7" t="str">
        <f>texty!$A$88</f>
        <v>pozicionér do horného vedenia</v>
      </c>
      <c r="B44" s="15">
        <v>298035</v>
      </c>
      <c r="C44" s="25" t="str">
        <f>+VLOOKUP(B44,cennik!$A:$G,2,FALSE)</f>
        <v>SEVROLL Fix pozicionér pre horný vozík tran.</v>
      </c>
      <c r="D44" s="29"/>
      <c r="E44" s="92">
        <f>+VLOOKUP(B44,cennik!$A:$G,3,FALSE)</f>
        <v>1.0605800000000001</v>
      </c>
      <c r="F44" s="97">
        <f t="shared" ref="F44" si="5">+CEILING(D44,1)*E44</f>
        <v>0</v>
      </c>
      <c r="G44" s="93">
        <f t="shared" ref="G44" si="6">+F44*(100-$G$28)/100</f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3"/>
    </row>
    <row r="45" spans="1:21" ht="12.75" customHeight="1">
      <c r="A45" s="7" t="str">
        <f>texty!A87</f>
        <v>pozicionér</v>
      </c>
      <c r="B45" s="211">
        <v>229681</v>
      </c>
      <c r="C45" s="25" t="str">
        <f>+VLOOKUP(B45,cennik!$A:$G,2,FALSE)</f>
        <v>SEVROLL Simple pozicionér pre spodný vozík</v>
      </c>
      <c r="D45" s="29"/>
      <c r="E45" s="92">
        <f>+VLOOKUP(B45,cennik!$A:$G,3,FALSE)</f>
        <v>0.40872000000000003</v>
      </c>
      <c r="F45" s="92">
        <f>+E45*D45</f>
        <v>0</v>
      </c>
      <c r="G45" s="93">
        <f>+F45*(100-$G$28)/100</f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3"/>
    </row>
    <row r="46" spans="1:21" ht="12.75" customHeight="1">
      <c r="A46" s="7" t="str">
        <f>texty!A179</f>
        <v>skrutka k spodnémi vedeniu</v>
      </c>
      <c r="B46" s="15">
        <v>98019</v>
      </c>
      <c r="C46" s="25" t="str">
        <f>+VLOOKUP(B46,cennik!$A:$G,2,FALSE)</f>
        <v>SEVROLL-skrutka 2,5*18MM</v>
      </c>
      <c r="D46" s="29"/>
      <c r="E46" s="92">
        <f>+VLOOKUP(B46,cennik!$A:$G,3,FALSE)</f>
        <v>2.8680000000000001E-2</v>
      </c>
      <c r="F46" s="97">
        <f>+CEILING(D46,1)*E46</f>
        <v>0</v>
      </c>
      <c r="G46" s="93">
        <f>+F46*(100-$G$24)/100</f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7" t="str">
        <f>texty!$A$204</f>
        <v>spojovací H25 profil Simple (18mm)</v>
      </c>
      <c r="B47" s="16">
        <f>+VLOOKUP(O7,data!$C$408:$D$410,2,0)</f>
        <v>336796</v>
      </c>
      <c r="C47" s="25" t="str">
        <f>+VLOOKUP(B47,cennik!$A:$G,2,FALSE)</f>
        <v>SEVROLL spoj.lišta Simple H21 3m(18mm) str.</v>
      </c>
      <c r="D47" s="30"/>
      <c r="E47" s="92">
        <f>+VLOOKUP(B47,cennik!$A:$G,3,FALSE)</f>
        <v>13.24253</v>
      </c>
      <c r="F47" s="92">
        <f>+E47*D47</f>
        <v>0</v>
      </c>
      <c r="G47" s="93">
        <f>+F47*(100-$G$28)/100</f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6"/>
    </row>
    <row r="48" spans="1:21" ht="12.75" customHeight="1">
      <c r="A48" s="7" t="str">
        <f>texty!$A$205</f>
        <v>spojovací H31 profil Simple (18mm)</v>
      </c>
      <c r="B48" s="16">
        <f>+VLOOKUP(O7,data!$C$411:$D$413,2,0)</f>
        <v>328825</v>
      </c>
      <c r="C48" s="25" t="str">
        <f>+VLOOKUP(B48,cennik!$A:$G,2,FALSE)</f>
        <v>SEVROLL spojovacia lišta Simple / Blue H28 3m (18mm) strieborná</v>
      </c>
      <c r="D48" s="30"/>
      <c r="E48" s="92">
        <f>+VLOOKUP(B48,cennik!$A:$G,3,FALSE)</f>
        <v>22.997309999999999</v>
      </c>
      <c r="F48" s="92">
        <f>+E48*D48</f>
        <v>0</v>
      </c>
      <c r="G48" s="93">
        <f>+F48*(100-$G$28)/100</f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6"/>
    </row>
    <row r="49" spans="1:11" ht="12.75" customHeight="1">
      <c r="A49" s="7" t="str">
        <f>texty!$A$92</f>
        <v>spojovacia skrutka</v>
      </c>
      <c r="B49" s="16">
        <v>346726</v>
      </c>
      <c r="C49" s="25" t="str">
        <f>+VLOOKUP(B49,cennik!$A:$G,2,FALSE)</f>
        <v>SEVROLL šroubovrut Blue 6,3*45</v>
      </c>
      <c r="D49" s="30"/>
      <c r="E49" s="92">
        <f>+VLOOKUP(B49,cennik!$A:$G,3,FALSE)</f>
        <v>0.16349</v>
      </c>
      <c r="F49" s="92">
        <f>+E49*D49</f>
        <v>0</v>
      </c>
      <c r="G49" s="93">
        <f>+F49*(100-$G$28)/100</f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6"/>
    </row>
    <row r="50" spans="1:11" ht="12.75" customHeight="1">
      <c r="A50" s="436" t="str">
        <f>texty!$A$228</f>
        <v> Tlmič dorazu MINI do 25 kg (pár)</v>
      </c>
      <c r="B50" s="16">
        <v>318662</v>
      </c>
      <c r="C50" s="25" t="str">
        <f>+VLOOKUP(B50,cennik!$A:$G,2,FALSE)</f>
        <v>SEVROLL tlmič dorazu Mini SV25 - 2ks</v>
      </c>
      <c r="D50" s="29"/>
      <c r="E50" s="92">
        <f>+VLOOKUP(B50,cennik!$A:$G,3,FALSE)</f>
        <v>22.368510000000001</v>
      </c>
      <c r="F50" s="97">
        <f>+CEILING(D50,1)*E50</f>
        <v>0</v>
      </c>
      <c r="G50" s="93">
        <f t="shared" ref="G50:G53" si="7">+F50*(100-$G$28)/100</f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1" ht="12.75" customHeight="1">
      <c r="A51" s="436" t="str">
        <f>texty!$A$229</f>
        <v> Tlmič dorazu MINI do 40 kg (pár)</v>
      </c>
      <c r="B51" s="24">
        <v>283956</v>
      </c>
      <c r="C51" s="25" t="str">
        <f>+VLOOKUP(B51,cennik!$A:$G,2,FALSE)</f>
        <v>SEVROLL tlmič dorazu Mini SV40 - 2ks</v>
      </c>
      <c r="D51" s="29"/>
      <c r="E51" s="92">
        <f>+VLOOKUP(B51,cennik!$A:$G,3,FALSE)</f>
        <v>22.368510000000001</v>
      </c>
      <c r="F51" s="97">
        <f>+CEILING(D51,1)*E51</f>
        <v>0</v>
      </c>
      <c r="G51" s="93">
        <f t="shared" si="7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6"/>
    </row>
    <row r="52" spans="1:11" ht="12.75" customHeight="1">
      <c r="A52" s="436" t="str">
        <f>texty!$A$231</f>
        <v> Tlmič pre stredné krídlo do 25 kg</v>
      </c>
      <c r="B52" s="24">
        <v>318663</v>
      </c>
      <c r="C52" s="25" t="str">
        <f>+VLOOKUP(B52,cennik!$A:$G,2,FALSE)</f>
        <v>SEVROLL tlmič Central 10/18mm obojst. 25 kg</v>
      </c>
      <c r="D52" s="29"/>
      <c r="E52" s="92">
        <f>+VLOOKUP(B52,cennik!$A:$G,3,FALSE)</f>
        <v>47.918750000000003</v>
      </c>
      <c r="F52" s="97">
        <f>+CEILING(D52,1)*E52</f>
        <v>0</v>
      </c>
      <c r="G52" s="93">
        <f t="shared" si="7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6"/>
    </row>
    <row r="53" spans="1:11" ht="12.75" customHeight="1">
      <c r="A53" s="436" t="str">
        <f>texty!$A$232</f>
        <v> Tlmič pre stredné krídlo do 40 kg</v>
      </c>
      <c r="B53" s="24">
        <v>283955</v>
      </c>
      <c r="C53" s="25" t="str">
        <f>+VLOOKUP(B53,cennik!$A:$G,2,FALSE)</f>
        <v>SEVROLL tlmič Central 10/18mm obojst.25-40kg</v>
      </c>
      <c r="D53" s="29"/>
      <c r="E53" s="92">
        <f>+VLOOKUP(B53,cennik!$A:$G,3,FALSE)</f>
        <v>47.918750000000003</v>
      </c>
      <c r="F53" s="97">
        <f>+CEILING(D53,1)*E53</f>
        <v>0</v>
      </c>
      <c r="G53" s="93">
        <f t="shared" si="7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6"/>
    </row>
    <row r="54" spans="1:11" ht="12.75" customHeight="1">
      <c r="A54" s="7" t="str">
        <f>texty!$A$90</f>
        <v>protiprachový kartáč</v>
      </c>
      <c r="B54" s="16">
        <v>305348</v>
      </c>
      <c r="C54" s="25" t="str">
        <f>+VLOOKUP(B54,cennik!$A:$G,2,FALSE)</f>
        <v>SEVROLL dorazový kartáč zásuvný 4,8x9mm</v>
      </c>
      <c r="D54" s="30"/>
      <c r="E54" s="92">
        <f>+VLOOKUP(B54,cennik!$A:$G,3,FALSE)</f>
        <v>0.27248</v>
      </c>
      <c r="F54" s="92">
        <f>+E54*D54</f>
        <v>0</v>
      </c>
      <c r="G54" s="93">
        <f>+F54*(100-$G$28)/100</f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I55" s="483" t="str">
        <f>IFERROR(IF((VLOOKUP(B55,cennik!A:L,12,0))="O",texty!$A$250,""),"")</f>
        <v/>
      </c>
      <c r="J55" s="196"/>
      <c r="K55" s="6"/>
    </row>
    <row r="56" spans="1:11" ht="12.75" customHeight="1">
      <c r="H56" s="5"/>
      <c r="I56" s="483" t="str">
        <f>IFERROR(IF((VLOOKUP(B56,cennik!A:L,12,0))="O",texty!$A$250,""),"")</f>
        <v/>
      </c>
      <c r="J56" s="196"/>
      <c r="K56" s="6"/>
    </row>
    <row r="57" spans="1:11" ht="12.75" customHeight="1">
      <c r="A57" s="676" t="str">
        <f>CONCATENATE(texty!$A$7," ",D59," ",texty!$A$9)</f>
        <v>Pokiaľ budete používať ako výplň sklo / zrkadlo, je nutné doobjednať tesnenie. Dĺžka tesnenia na jedno krídlo je  2 ks, pokiaľ je preskenných viac krídel, treba vynásobiť</v>
      </c>
      <c r="B57" s="676"/>
      <c r="C57" s="676"/>
      <c r="D57" s="676"/>
      <c r="E57" s="676"/>
      <c r="F57" s="676"/>
      <c r="G57" s="676"/>
      <c r="I57" s="483" t="str">
        <f>IFERROR(IF((VLOOKUP(B57,cennik!A:L,12,0))="O",texty!$A$250,""),"")</f>
        <v/>
      </c>
      <c r="J57" s="186"/>
      <c r="K57" s="6"/>
    </row>
    <row r="58" spans="1:11" ht="12.75" customHeight="1">
      <c r="A58" s="676"/>
      <c r="B58" s="676"/>
      <c r="C58" s="676"/>
      <c r="D58" s="676"/>
      <c r="E58" s="676"/>
      <c r="F58" s="676"/>
      <c r="G58" s="676"/>
      <c r="I58" s="483" t="str">
        <f>IFERROR(IF((VLOOKUP(B58,cennik!A:L,12,0))="O",texty!$A$250,""),"")</f>
        <v/>
      </c>
      <c r="J58" s="186"/>
      <c r="K58" s="6"/>
    </row>
    <row r="59" spans="1:11" ht="12.75" customHeight="1">
      <c r="A59" s="3" t="str">
        <f>texty!$A$11</f>
        <v>Potrebná dĺžka tesnenia pri celkovom presklení (nutné objednať celé metre)</v>
      </c>
      <c r="D59" s="39">
        <f>CEILING((B9*2+C9*2)/1000/0.2+2,1)</f>
        <v>2</v>
      </c>
      <c r="E59" s="95"/>
      <c r="F59" s="95"/>
      <c r="G59" s="95"/>
      <c r="I59" s="483" t="str">
        <f>IFERROR(IF((VLOOKUP(B59,cennik!A:L,12,0))="O",texty!$A$250,""),"")</f>
        <v/>
      </c>
      <c r="J59" s="186"/>
      <c r="K59" s="6"/>
    </row>
    <row r="60" spans="1:11" ht="12.75" customHeight="1">
      <c r="A60" s="3"/>
      <c r="D60" s="39"/>
      <c r="E60" s="95"/>
      <c r="F60" s="95"/>
      <c r="G60" s="95"/>
      <c r="I60" s="483" t="str">
        <f>IFERROR(IF((VLOOKUP(B60,cennik!A:L,12,0))="O",texty!$A$250,""),"")</f>
        <v/>
      </c>
      <c r="J60" s="186"/>
      <c r="K60" s="6"/>
    </row>
    <row r="61" spans="1:11" ht="12.75" customHeight="1">
      <c r="A61" s="48" t="str">
        <f>texty!$A$11</f>
        <v>Potrebná dĺžka tesnenia pri celkovom presklení (nutné objednať celé metre)</v>
      </c>
      <c r="B61" s="46"/>
      <c r="C61" s="47"/>
      <c r="D61" s="46"/>
      <c r="E61" s="100"/>
      <c r="F61" s="100"/>
      <c r="G61" s="100"/>
      <c r="I61" s="483" t="str">
        <f>IFERROR(IF((VLOOKUP(B61,cennik!A:L,12,0))="O",texty!$A$250,""),"")</f>
        <v/>
      </c>
      <c r="J61" s="186"/>
      <c r="K61" s="6"/>
    </row>
    <row r="62" spans="1:11" ht="22.25" customHeight="1">
      <c r="A62" s="493" t="str">
        <f>texty!A206</f>
        <v xml:space="preserve">Upevňovacie kliny Blue 40ks (sklo 4 mm) </v>
      </c>
      <c r="B62" s="8">
        <v>349856</v>
      </c>
      <c r="C62" s="25" t="str">
        <f>+VLOOKUP(B62,cennik!$A:$G,2,FALSE)</f>
        <v>SEVROLL upevňovací klín Blue 40ks (sklo 4mm)</v>
      </c>
      <c r="D62" s="45"/>
      <c r="E62" s="92">
        <f>+VLOOKUP(B62,cennik!$A:$G,3,FALSE)</f>
        <v>13.542260000000001</v>
      </c>
      <c r="F62" s="92">
        <f>+E62*D62</f>
        <v>0</v>
      </c>
      <c r="G62" s="494">
        <f>+F62*(100-$G$28)/100</f>
        <v>0</v>
      </c>
      <c r="H62" s="8" t="str">
        <f>cennik!$B$2</f>
        <v>EUR</v>
      </c>
      <c r="I62" s="483" t="str">
        <f>IFERROR(IF((VLOOKUP(B62,cennik!A:L,12,0))="O",texty!$A$250,""),"")</f>
        <v/>
      </c>
      <c r="J62" s="196" t="str">
        <f>IF(D62&gt;0,IF(VLOOKUP(B62,cennik!A:L,12,FALSE)="O",1,""),"")</f>
        <v/>
      </c>
      <c r="K62" s="3"/>
    </row>
    <row r="63" spans="1:11" ht="12.75" customHeight="1">
      <c r="A63" s="7"/>
      <c r="B63" s="17"/>
      <c r="C63" s="25"/>
      <c r="E63" s="92"/>
      <c r="F63" s="97"/>
      <c r="G63" s="93"/>
      <c r="I63" s="483" t="str">
        <f>IFERROR(IF((VLOOKUP(B63,cennik!A:L,12,0))="O",texty!$A$250,""),"")</f>
        <v/>
      </c>
      <c r="J63" s="186"/>
      <c r="K63" s="3"/>
    </row>
    <row r="64" spans="1:11" ht="16">
      <c r="A64" s="285" t="str">
        <f>texty!$A$190</f>
        <v>Ďalšie príslušenstvo</v>
      </c>
      <c r="E64" s="95"/>
      <c r="F64" s="95"/>
      <c r="G64" s="95"/>
      <c r="I64" s="483" t="str">
        <f>IFERROR(IF((VLOOKUP(B64,cennik!A:L,12,0))="O",texty!$A$250,""),"")</f>
        <v/>
      </c>
      <c r="J64" s="186"/>
      <c r="K64" s="6"/>
    </row>
    <row r="65" spans="1:13" ht="12.75" customHeight="1">
      <c r="A65" s="285" t="str">
        <f>texty!$A$244</f>
        <v>Technický nákres tohoto systému</v>
      </c>
      <c r="B65" s="172">
        <v>128842</v>
      </c>
      <c r="C65" s="172" t="str">
        <f>VLOOKUP(B65,cennik!A:C,2,0)</f>
        <v>SEVROLL-VRTÁK STUPŇOVITÝ 6,5/9,5mm</v>
      </c>
      <c r="D65" s="45"/>
      <c r="E65" s="92">
        <f>+VLOOKUP(B65,cennik!$A:$G,3,FALSE)</f>
        <v>23.986910000000002</v>
      </c>
      <c r="F65" s="97">
        <f>+CEILING(D65,1)*E65</f>
        <v>0</v>
      </c>
      <c r="G65" s="93">
        <f>+F65</f>
        <v>0</v>
      </c>
      <c r="H65" s="6" t="str">
        <f>cennik!$B$2</f>
        <v>EUR</v>
      </c>
      <c r="I65" s="483" t="str">
        <f>IFERROR(IF((VLOOKUP(B65,cennik!A:L,12,0))="O",texty!$A$250,""),"")</f>
        <v/>
      </c>
      <c r="J65" s="196" t="str">
        <f>IF(D65&gt;0,IF(VLOOKUP(B65,cennik!A:L,12,FALSE)="O",1,""),"")</f>
        <v/>
      </c>
      <c r="K65" s="6"/>
    </row>
    <row r="66" spans="1:13" ht="12.75" customHeight="1">
      <c r="E66" s="95"/>
      <c r="F66" s="95"/>
      <c r="G66" s="95"/>
      <c r="I66" s="186"/>
      <c r="J66" s="186"/>
    </row>
    <row r="67" spans="1:13" ht="12.75" customHeight="1">
      <c r="B67" s="8"/>
      <c r="C67" s="8"/>
      <c r="D67" s="77" t="str">
        <f>texty!$A$15</f>
        <v>CELKOM  (bez DPH)</v>
      </c>
      <c r="E67" s="100"/>
      <c r="F67" s="102">
        <f>SUM(F30:F65)</f>
        <v>113.56968000000001</v>
      </c>
      <c r="G67" s="102">
        <f>SUM(G30:G65)</f>
        <v>113.56968000000001</v>
      </c>
      <c r="H67" s="6" t="str">
        <f>cennik!$B$2</f>
        <v>EUR</v>
      </c>
      <c r="I67" s="186"/>
      <c r="J67" s="186"/>
      <c r="K67" s="5" t="str">
        <f>texty!A128</f>
        <v xml:space="preserve">strieborná </v>
      </c>
    </row>
    <row r="68" spans="1:13" ht="12.75" customHeight="1">
      <c r="A68" s="76" t="str">
        <f>System10!$A$67</f>
        <v>Vaša poznámka:</v>
      </c>
      <c r="B68" s="665"/>
      <c r="C68" s="666"/>
      <c r="D68" s="666"/>
      <c r="E68" s="666"/>
      <c r="F68" s="666"/>
      <c r="G68" s="666"/>
      <c r="K68" s="5" t="str">
        <f>texty!A130</f>
        <v>oliva</v>
      </c>
    </row>
    <row r="69" spans="1:13" ht="12.75" customHeight="1">
      <c r="A69" s="657">
        <f>profil!$U$15</f>
        <v>0</v>
      </c>
      <c r="B69" s="658"/>
      <c r="C69" s="658"/>
      <c r="D69" s="658"/>
      <c r="E69" s="658"/>
      <c r="F69" s="658"/>
      <c r="G69" s="658"/>
      <c r="K69" s="5" t="str">
        <f>data!$J$15</f>
        <v>biela lesk</v>
      </c>
    </row>
    <row r="70" spans="1:13" ht="12.75" customHeight="1">
      <c r="A70" s="659" t="str">
        <f>IF(M70=1,texty!$A$215,IF(J70&gt;0,texty!$A$214,""))</f>
        <v>některé položky sú na objednávku, počítajte prosím s dodaciou  lehotou  do 5 týždnov</v>
      </c>
      <c r="B70" s="659"/>
      <c r="C70" s="659"/>
      <c r="D70" s="659"/>
      <c r="E70" s="659"/>
      <c r="F70" s="659"/>
      <c r="G70" s="659"/>
      <c r="J70" s="6">
        <f>SUM(J30:J65)</f>
        <v>2</v>
      </c>
      <c r="M70" s="5">
        <f>IF(ISERROR(J70),1,0)</f>
        <v>0</v>
      </c>
    </row>
    <row r="71" spans="1:13" ht="12.75" customHeight="1"/>
    <row r="83" spans="1:1" ht="12.75" hidden="1" customHeight="1">
      <c r="A83" s="5">
        <v>3</v>
      </c>
    </row>
    <row r="84" spans="1:1" ht="12.75" customHeight="1"/>
    <row r="85" spans="1:1" ht="12.75" customHeight="1"/>
    <row r="86" spans="1:1" ht="12.75" customHeight="1"/>
    <row r="87" spans="1:1" ht="12.75" customHeight="1"/>
    <row r="88" spans="1:1" ht="12.75" customHeight="1"/>
    <row r="89" spans="1:1" ht="12.75" customHeight="1"/>
    <row r="90" spans="1:1" ht="12.75" customHeight="1"/>
    <row r="91" spans="1:1" ht="12.75" customHeight="1"/>
    <row r="92" spans="1:1" ht="12.75" customHeight="1"/>
  </sheetData>
  <sheetProtection algorithmName="SHA-512" hashValue="MhNxzpfWfkk3Uf4BSBAO6l+OSG/SHxDcMDqUYFBTIy7NppGAOyKomLodn03/oAOlTlkFVcFrkHcWYWOl7zdjWw==" saltValue="Ic7pTh5J1pNfOVmMNmWFQA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D49 D54">
    <cfRule type="expression" dxfId="15" priority="10" stopIfTrue="1">
      <formula>IF(#REF!&gt;0,IF($D$49=0,1,0),0)</formula>
    </cfRule>
  </conditionalFormatting>
  <conditionalFormatting sqref="D6">
    <cfRule type="expression" dxfId="14" priority="7">
      <formula>$D$4=4</formula>
    </cfRule>
    <cfRule type="expression" dxfId="13" priority="8">
      <formula>$D$4&lt;&gt;4</formula>
    </cfRule>
  </conditionalFormatting>
  <conditionalFormatting sqref="F4:I6">
    <cfRule type="expression" dxfId="12" priority="6">
      <formula>$D$4=4</formula>
    </cfRule>
  </conditionalFormatting>
  <conditionalFormatting sqref="A13">
    <cfRule type="expression" dxfId="11" priority="4">
      <formula>SUM($D$50:$D$51)&gt;0</formula>
    </cfRule>
  </conditionalFormatting>
  <conditionalFormatting sqref="A15">
    <cfRule type="expression" dxfId="10" priority="3">
      <formula>SUM($D$52:$D$53)&gt;0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 2740 mm" sqref="B4" xr:uid="{00000000-0002-0000-1100-000002000000}">
      <formula1>0</formula1>
      <formula2>2740</formula2>
    </dataValidation>
    <dataValidation type="list" allowBlank="1" showInputMessage="1" showErrorMessage="1" sqref="E5:E6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$K$67:$K$69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1BC37BE-8C5A-482C-A035-7730FF08D525}">
            <xm:f>$I30=texty!$A$250</xm:f>
            <x14:dxf>
              <font>
                <color rgb="FFFF0000"/>
              </font>
            </x14:dxf>
          </x14:cfRule>
          <xm:sqref>I30:I65</xm:sqref>
        </x14:conditionalFormatting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A30:H65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Y79"/>
  <sheetViews>
    <sheetView showGridLines="0" zoomScale="85" zoomScaleNormal="85" workbookViewId="0">
      <selection activeCell="E4" sqref="E4"/>
    </sheetView>
  </sheetViews>
  <sheetFormatPr baseColWidth="10" defaultColWidth="0" defaultRowHeight="0" customHeight="1" zeroHeight="1"/>
  <cols>
    <col min="1" max="1" width="39.5" style="5" customWidth="1"/>
    <col min="2" max="2" width="15.83203125" style="5" customWidth="1"/>
    <col min="3" max="3" width="39.6640625" style="5" customWidth="1"/>
    <col min="4" max="7" width="14.6640625" style="5" customWidth="1"/>
    <col min="8" max="8" width="4.83203125" style="6" customWidth="1"/>
    <col min="9" max="9" width="24.83203125" style="6" customWidth="1"/>
    <col min="10" max="10" width="19.1640625" style="6" hidden="1" customWidth="1"/>
    <col min="11" max="11" width="26.5" style="5" hidden="1" customWidth="1"/>
    <col min="12" max="12" width="11.6640625" style="5" hidden="1" customWidth="1"/>
    <col min="13" max="13" width="26.5" style="5" hidden="1" customWidth="1"/>
    <col min="14" max="14" width="7.33203125" style="5" hidden="1" customWidth="1"/>
    <col min="15" max="15" width="9.1640625" style="5" hidden="1" customWidth="1"/>
    <col min="16" max="16" width="7" style="5" hidden="1" customWidth="1"/>
    <col min="17" max="17" width="10.5" style="5" hidden="1" customWidth="1"/>
    <col min="18" max="18" width="12" style="5" hidden="1" customWidth="1"/>
    <col min="19" max="19" width="11.5" style="5" hidden="1" customWidth="1"/>
    <col min="20" max="20" width="5.1640625" style="5" hidden="1" customWidth="1"/>
    <col min="21" max="22" width="5.6640625" style="5" hidden="1" customWidth="1"/>
    <col min="23" max="24" width="4.5" style="5" hidden="1" customWidth="1"/>
    <col min="25" max="25" width="11.5" style="5" hidden="1" customWidth="1"/>
    <col min="26" max="16384" width="9.1640625" style="5" hidden="1"/>
  </cols>
  <sheetData>
    <row r="1" spans="1:21" ht="13.5" customHeight="1" thickBot="1">
      <c r="A1" s="432"/>
      <c r="B1" s="17"/>
      <c r="C1" s="17"/>
      <c r="D1" s="17"/>
      <c r="E1" s="17"/>
      <c r="F1" s="24"/>
      <c r="G1" s="24"/>
      <c r="H1" s="24"/>
      <c r="I1" s="24"/>
      <c r="K1" s="6">
        <v>2</v>
      </c>
      <c r="L1" s="5">
        <v>-7</v>
      </c>
    </row>
    <row r="2" spans="1:21" ht="18.75" customHeight="1">
      <c r="A2" s="538" t="s">
        <v>1451</v>
      </c>
      <c r="B2" s="433" t="str">
        <f>profil!T7</f>
        <v>Zákazník:, , IČO:</v>
      </c>
      <c r="C2" s="17"/>
      <c r="D2" s="17"/>
      <c r="E2" s="17"/>
      <c r="F2" s="24"/>
      <c r="G2" s="24"/>
      <c r="H2" s="24"/>
      <c r="I2" s="24"/>
      <c r="K2" s="6">
        <v>3</v>
      </c>
    </row>
    <row r="3" spans="1:21" ht="35.25" customHeight="1" thickBot="1">
      <c r="A3" s="539" t="str">
        <f>CONCATENATE(texty!A243," ",5,".",65)</f>
        <v>katalóg kovania 2018 str. 5.65</v>
      </c>
      <c r="B3" s="434" t="str">
        <f>CONCATENATE(texty!A34," / max.         3 040 mm /")</f>
        <v>výška / max.         3 040 mm /</v>
      </c>
      <c r="C3" s="435" t="str">
        <f>CONCATENATE(texty!A35," / max 6 000 mm /")</f>
        <v>šírka / max 6 000 mm /</v>
      </c>
      <c r="D3" s="435" t="str">
        <f>texty!A36</f>
        <v>počet dverí:</v>
      </c>
      <c r="E3" s="435" t="str">
        <f>texty!A37</f>
        <v>farba</v>
      </c>
      <c r="F3" s="434" t="str">
        <f>texty!B38</f>
        <v>typ spodního vedení</v>
      </c>
      <c r="G3" s="24"/>
      <c r="H3" s="24"/>
      <c r="I3" s="24"/>
      <c r="K3" s="6"/>
    </row>
    <row r="4" spans="1:21" ht="24" customHeight="1">
      <c r="A4" s="437" t="str">
        <f>texty!A70</f>
        <v>VNÚTORNÝ ROZMER SKRINE:</v>
      </c>
      <c r="B4" s="56"/>
      <c r="C4" s="56"/>
      <c r="D4" s="22">
        <v>3</v>
      </c>
      <c r="E4" s="221" t="s">
        <v>416</v>
      </c>
      <c r="F4" s="221" t="s">
        <v>2884</v>
      </c>
      <c r="G4" s="643"/>
      <c r="H4" s="643"/>
      <c r="I4" s="643"/>
      <c r="J4" s="195"/>
      <c r="K4" s="8">
        <f>IF(C4&lt;1701,1700,IF(C4&lt;2351,2350,IF(C4&lt;3001,3000,IF(C4&lt;4051,4050,6000))))</f>
        <v>1700</v>
      </c>
      <c r="M4" s="8">
        <f>IF(C4&lt;1701,1700,IF(C4&lt;2351,2350,IF(C4&lt;3001,3000,IF(C4&lt;4051,4050,6000))))</f>
        <v>1700</v>
      </c>
      <c r="N4" s="5">
        <v>3000</v>
      </c>
    </row>
    <row r="5" spans="1:21" ht="18" customHeight="1">
      <c r="A5" s="437"/>
      <c r="B5" s="642" t="str">
        <f>texty!A45</f>
        <v>vypíšte týchto 5 políčok !!! Údaje v mm</v>
      </c>
      <c r="C5" s="642"/>
      <c r="D5" s="642"/>
      <c r="E5" s="642"/>
      <c r="F5" s="21"/>
      <c r="G5" s="643"/>
      <c r="H5" s="643"/>
      <c r="I5" s="643"/>
      <c r="J5" s="195"/>
      <c r="K5" s="3" t="str">
        <f>CONCATENATE(K4,"-",E4)</f>
        <v xml:space="preserve">1700-strieborná </v>
      </c>
      <c r="M5" s="3" t="str">
        <f>CONCATENATE(M4,"-",E4,", ",F4)</f>
        <v>1700-strieborná , Elegant II</v>
      </c>
      <c r="N5" s="5" t="str">
        <f>CONCATENATE(N4,"-",E4)</f>
        <v xml:space="preserve">3000-strieborná </v>
      </c>
      <c r="R5" s="5" t="e">
        <f>#REF!*3</f>
        <v>#REF!</v>
      </c>
    </row>
    <row r="6" spans="1:21" ht="18" customHeight="1">
      <c r="A6" s="437"/>
      <c r="B6" s="445" t="str">
        <f>IF(D4=4,texty!A227,"")</f>
        <v/>
      </c>
      <c r="C6" s="21"/>
      <c r="D6" s="457">
        <v>2</v>
      </c>
      <c r="E6" s="17"/>
      <c r="F6" s="21"/>
      <c r="G6" s="643"/>
      <c r="H6" s="643"/>
      <c r="I6" s="643"/>
      <c r="J6" s="195"/>
      <c r="K6" s="6"/>
      <c r="Q6" s="645" t="s">
        <v>646</v>
      </c>
      <c r="R6" s="645" t="s">
        <v>647</v>
      </c>
      <c r="S6" s="645" t="s">
        <v>648</v>
      </c>
      <c r="T6" s="645" t="s">
        <v>649</v>
      </c>
    </row>
    <row r="7" spans="1:21" ht="12.75" customHeight="1">
      <c r="A7" s="438" t="str">
        <f>texty!A71</f>
        <v>krídlo dverí:</v>
      </c>
      <c r="B7" s="57">
        <f>+B4-40</f>
        <v>-40</v>
      </c>
      <c r="C7" s="59">
        <f>+((C4-3+(25*(D4-1)))/D4+IF(AND(D4=4,D6=2),L1,0))</f>
        <v>15.666666666666666</v>
      </c>
      <c r="D7" s="17"/>
      <c r="E7" s="17"/>
      <c r="F7" s="21"/>
      <c r="G7" s="448" t="str">
        <f>texty!$A$42</f>
        <v>u sklenenej výplne (alebo zrkadla)</v>
      </c>
      <c r="H7" s="24"/>
      <c r="I7" s="24"/>
      <c r="K7" s="6"/>
      <c r="N7" s="17">
        <f>IF(K11="jiné",L12,K11)</f>
        <v>1700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438" t="str">
        <f>texty!A73</f>
        <v>rozmer zrkadla / skla</v>
      </c>
      <c r="B8" s="57">
        <f>+B7-4</f>
        <v>-44</v>
      </c>
      <c r="C8" s="59">
        <f>+C7-4</f>
        <v>11.666666666666666</v>
      </c>
      <c r="D8" s="17"/>
      <c r="E8" s="17"/>
      <c r="F8" s="21"/>
      <c r="G8" s="448" t="str">
        <f>texty!$A$40</f>
        <v>je treba použiť bezpečnostné sklo</v>
      </c>
      <c r="H8" s="24"/>
      <c r="I8" s="24"/>
      <c r="K8" s="6" t="s">
        <v>73</v>
      </c>
      <c r="L8" s="5" t="s">
        <v>74</v>
      </c>
      <c r="N8" s="23" t="str">
        <f>CONCATENATE(N7,"-",E4)</f>
        <v xml:space="preserve">1700-strieborná </v>
      </c>
      <c r="O8" s="21"/>
      <c r="P8" s="5">
        <v>1</v>
      </c>
      <c r="Q8" s="164">
        <f>$C$9+5</f>
        <v>-29.333333333333336</v>
      </c>
      <c r="R8" s="5">
        <f>FLOOR(1700/Q8,1)</f>
        <v>-58</v>
      </c>
      <c r="S8" s="5">
        <f>FLOOR(2350/Q8,1)</f>
        <v>-81</v>
      </c>
      <c r="T8" s="5">
        <f>FLOOR(3000/Q8,1)</f>
        <v>-103</v>
      </c>
    </row>
    <row r="9" spans="1:21" ht="12.75" customHeight="1">
      <c r="A9" s="438" t="str">
        <f>texty!A74</f>
        <v>dĺžka vodiacej a krycej lišty krídla</v>
      </c>
      <c r="B9" s="57"/>
      <c r="C9" s="60">
        <f>+C$7-50</f>
        <v>-34.333333333333336</v>
      </c>
      <c r="D9" s="17"/>
      <c r="E9" s="17"/>
      <c r="F9" s="21"/>
      <c r="G9" s="448" t="str">
        <f>texty!$A$41</f>
        <v>alebo sklo zabezpečiť ochrannou fóliou</v>
      </c>
      <c r="H9" s="24"/>
      <c r="I9" s="24"/>
      <c r="K9" s="37">
        <f>C9*D4</f>
        <v>-103</v>
      </c>
      <c r="L9" s="36">
        <f>(D4+1)*5</f>
        <v>20</v>
      </c>
      <c r="P9" s="5">
        <v>2</v>
      </c>
      <c r="Q9" s="164">
        <f t="shared" ref="Q9:Q14" si="0">Q8+$C$9+5</f>
        <v>-58.666666666666671</v>
      </c>
      <c r="R9" s="5">
        <f>(1700-C9)*R15</f>
        <v>-1734.3333333333333</v>
      </c>
      <c r="S9" s="5">
        <f>(2350-C9)*S15</f>
        <v>-2384.3333333333335</v>
      </c>
      <c r="T9" s="5">
        <f>(3000-C9)*T15</f>
        <v>-3034.3333333333335</v>
      </c>
      <c r="U9" s="5" t="s">
        <v>651</v>
      </c>
    </row>
    <row r="10" spans="1:21" ht="12.75" customHeight="1">
      <c r="A10" s="438" t="str">
        <f>texty!A75</f>
        <v>Horný/spodný profil</v>
      </c>
      <c r="B10" s="57"/>
      <c r="C10" s="194">
        <f>+C$4</f>
        <v>0</v>
      </c>
      <c r="D10" s="17"/>
      <c r="E10" s="17"/>
      <c r="F10" s="21"/>
      <c r="G10" s="449"/>
      <c r="H10" s="24"/>
      <c r="I10" s="24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-88</v>
      </c>
    </row>
    <row r="11" spans="1:21" ht="12.75" customHeight="1">
      <c r="A11" s="438" t="str">
        <f>texty!A76</f>
        <v>úchytková lišta</v>
      </c>
      <c r="B11" s="502">
        <f>+B$7</f>
        <v>-40</v>
      </c>
      <c r="C11" s="503"/>
      <c r="D11" s="17"/>
      <c r="E11" s="17"/>
      <c r="F11" s="21"/>
      <c r="G11" s="23" t="str">
        <f>texty!$A$43</f>
        <v>Maximálna hmotnosť krídla je 50 kg</v>
      </c>
      <c r="H11" s="24"/>
      <c r="I11" s="24"/>
      <c r="K11" s="36">
        <f>IF((K9+L9)&lt;1700,1700,IF((K9+L9)&lt;2350,2350,IF((K9+L9)&lt;3000,3000,"jiné")))</f>
        <v>1700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-117.33333333333334</v>
      </c>
    </row>
    <row r="12" spans="1:21" ht="12.75" customHeight="1">
      <c r="A12" s="439"/>
      <c r="B12" s="65"/>
      <c r="C12" s="86"/>
      <c r="D12" s="17"/>
      <c r="E12" s="17"/>
      <c r="F12" s="24"/>
      <c r="G12" s="24"/>
      <c r="H12" s="24"/>
      <c r="I12" s="450"/>
      <c r="J12" s="162"/>
      <c r="K12" s="6">
        <f>C9*(D4-1)+(D4*5)</f>
        <v>-53.666666666666671</v>
      </c>
      <c r="L12" s="5">
        <f>IF(K12&lt;1700,1700,IF(K12&lt;2350,2350,IF(K12&lt;3000,3000,3000)))</f>
        <v>1700</v>
      </c>
      <c r="M12" s="163">
        <f>L12-K12</f>
        <v>1753.6666666666667</v>
      </c>
      <c r="N12" s="5">
        <f>IF((C9*2+10)&gt;3000,IF((C9+10)&gt;2350,3000,IF((C9+10)&gt;1700,2350,1700)),1700)</f>
        <v>1700</v>
      </c>
      <c r="O12" s="5">
        <f>IF((N12/(C9+5))&gt;3,3,IF((N12/(C9+5))&gt;2,2,1))</f>
        <v>1</v>
      </c>
      <c r="P12" s="5">
        <v>5</v>
      </c>
      <c r="Q12" s="164">
        <f t="shared" si="0"/>
        <v>-146.66666666666669</v>
      </c>
    </row>
    <row r="13" spans="1:21" ht="42" customHeight="1">
      <c r="A13" s="644" t="str">
        <f>IF(SUM(D51:D52)&gt;0,texty!A245,"")</f>
        <v/>
      </c>
      <c r="B13" s="644"/>
      <c r="C13" s="446" t="str">
        <f>IF(C7&gt;1100,texty!A235,"")</f>
        <v/>
      </c>
      <c r="D13" s="17"/>
      <c r="E13" s="17"/>
      <c r="F13" s="24"/>
      <c r="G13" s="24"/>
      <c r="H13" s="24"/>
      <c r="I13" s="24"/>
      <c r="K13" s="35">
        <f>C9+10</f>
        <v>-24.333333333333336</v>
      </c>
      <c r="L13" s="5">
        <f>IF(M12&gt;=0,IF(K13&lt;1700,1700,IF(K13&lt;2350,2350,IF(K13&lt;3000,3000,"jiné"))),IF((K13+C9)&lt;1700,1700,IF((K13+C9)&lt;2350,2350,IF((K13+C9)&lt;3000,3000,"jiné"))))</f>
        <v>1700</v>
      </c>
      <c r="M13" s="163">
        <f>L13-K13</f>
        <v>1724.3333333333333</v>
      </c>
      <c r="P13" s="5">
        <v>6</v>
      </c>
      <c r="Q13" s="164">
        <f t="shared" si="0"/>
        <v>-176.00000000000003</v>
      </c>
    </row>
    <row r="14" spans="1:21" ht="12.75" customHeight="1">
      <c r="A14" s="436"/>
      <c r="B14" s="17"/>
      <c r="C14" s="447"/>
      <c r="D14" s="17"/>
      <c r="E14" s="17"/>
      <c r="F14" s="24"/>
      <c r="G14" s="24"/>
      <c r="H14" s="24"/>
      <c r="I14" s="24"/>
      <c r="K14" s="6"/>
      <c r="L14" s="5">
        <f>SUM(L12:L13)</f>
        <v>3400</v>
      </c>
      <c r="M14" s="5">
        <f>SUM(M12:M13)</f>
        <v>3478</v>
      </c>
      <c r="P14" s="5">
        <v>7</v>
      </c>
      <c r="Q14" s="164">
        <f t="shared" si="0"/>
        <v>-205.33333333333337</v>
      </c>
    </row>
    <row r="15" spans="1:21" ht="12" customHeight="1">
      <c r="A15" s="440"/>
      <c r="B15" s="17"/>
      <c r="C15" s="447"/>
      <c r="D15" s="17"/>
      <c r="E15" s="17"/>
      <c r="F15" s="24"/>
      <c r="G15" s="24"/>
      <c r="H15" s="24"/>
      <c r="I15" s="24"/>
      <c r="K15" s="6"/>
      <c r="L15" s="5">
        <f>L14-C4</f>
        <v>3400</v>
      </c>
      <c r="P15" s="5" t="s">
        <v>650</v>
      </c>
      <c r="R15" s="5">
        <f>FLOOR($D$4/R8,1)</f>
        <v>-1</v>
      </c>
      <c r="S15" s="5">
        <f>FLOOR($D$4/S8,1)</f>
        <v>-1</v>
      </c>
      <c r="T15" s="5">
        <f>FLOOR($D$4/T8,1)</f>
        <v>-1</v>
      </c>
    </row>
    <row r="16" spans="1:21" ht="12" customHeight="1">
      <c r="A16" s="440"/>
      <c r="B16" s="17"/>
      <c r="C16" s="447"/>
      <c r="D16" s="17"/>
      <c r="E16" s="17"/>
      <c r="F16" s="24"/>
      <c r="G16" s="24"/>
      <c r="H16" s="24"/>
      <c r="I16" s="24"/>
      <c r="K16" s="6"/>
    </row>
    <row r="17" spans="1:22" ht="17.25" customHeight="1">
      <c r="A17" s="440"/>
      <c r="B17" s="17"/>
      <c r="C17" s="447"/>
      <c r="D17" s="17"/>
      <c r="E17" s="17"/>
      <c r="F17" s="24"/>
      <c r="G17" s="24"/>
      <c r="H17" s="24"/>
      <c r="I17" s="21"/>
      <c r="K17" s="6"/>
    </row>
    <row r="18" spans="1:22" ht="12.75" customHeight="1">
      <c r="A18" s="436"/>
      <c r="B18" s="17"/>
      <c r="C18" s="447"/>
      <c r="D18" s="17"/>
      <c r="E18" s="17"/>
      <c r="F18" s="24"/>
      <c r="G18" s="24"/>
      <c r="H18" s="24"/>
      <c r="I18" s="451"/>
      <c r="K18" s="6"/>
    </row>
    <row r="19" spans="1:22" ht="14.25" customHeight="1">
      <c r="A19" s="436"/>
      <c r="B19" s="17"/>
      <c r="C19" s="120"/>
      <c r="D19" s="17"/>
      <c r="E19" s="17"/>
      <c r="F19" s="24"/>
      <c r="G19" s="24"/>
      <c r="H19" s="24"/>
      <c r="I19" s="451"/>
      <c r="K19" s="6"/>
    </row>
    <row r="20" spans="1:22" ht="16.5" customHeight="1">
      <c r="A20" s="436"/>
      <c r="B20" s="17"/>
      <c r="C20" s="17"/>
      <c r="D20" s="21"/>
      <c r="E20" s="17"/>
      <c r="F20" s="24"/>
      <c r="G20" s="24"/>
      <c r="H20" s="24"/>
      <c r="I20" s="647" t="s">
        <v>2890</v>
      </c>
      <c r="J20" s="431"/>
      <c r="K20" s="6"/>
      <c r="L20" s="6"/>
      <c r="Q20" s="5" t="s">
        <v>694</v>
      </c>
      <c r="R20" s="5" t="s">
        <v>693</v>
      </c>
      <c r="S20" s="5">
        <v>1700</v>
      </c>
      <c r="T20" s="5">
        <v>2350</v>
      </c>
      <c r="U20" s="5">
        <v>3000</v>
      </c>
    </row>
    <row r="21" spans="1:22" ht="16.5" customHeight="1">
      <c r="A21" s="436"/>
      <c r="B21" s="17"/>
      <c r="C21" s="17"/>
      <c r="D21" s="396"/>
      <c r="E21" s="17"/>
      <c r="F21" s="24"/>
      <c r="G21" s="24"/>
      <c r="H21" s="24"/>
      <c r="I21" s="647"/>
      <c r="K21" s="6"/>
      <c r="P21" s="5">
        <v>1</v>
      </c>
      <c r="Q21" s="5">
        <f>R8</f>
        <v>-58</v>
      </c>
      <c r="R21" s="5" t="str">
        <f>IF(Q21&gt;=D4,1,"")</f>
        <v/>
      </c>
      <c r="S21" s="168" t="str">
        <f>IF(R21=1,1,"")</f>
        <v/>
      </c>
      <c r="T21" s="168"/>
      <c r="U21" s="168"/>
    </row>
    <row r="22" spans="1:22" ht="16.5" customHeight="1">
      <c r="A22" s="436"/>
      <c r="B22" s="17"/>
      <c r="C22" s="17"/>
      <c r="D22" s="396"/>
      <c r="E22" s="17"/>
      <c r="F22" s="24"/>
      <c r="G22" s="24"/>
      <c r="H22" s="24"/>
      <c r="I22" s="648" t="s">
        <v>2891</v>
      </c>
      <c r="K22" s="6"/>
      <c r="S22" s="168"/>
      <c r="T22" s="168"/>
      <c r="U22" s="168"/>
    </row>
    <row r="23" spans="1:22" ht="12.75" customHeight="1">
      <c r="A23" s="524" t="s">
        <v>2963</v>
      </c>
      <c r="B23" s="17"/>
      <c r="C23" s="17"/>
      <c r="D23" s="17"/>
      <c r="E23" s="17"/>
      <c r="F23" s="24"/>
      <c r="G23" s="24"/>
      <c r="H23" s="24"/>
      <c r="I23" s="648"/>
      <c r="K23" s="3"/>
      <c r="P23" s="5">
        <v>2</v>
      </c>
      <c r="Q23" s="5">
        <f>S8</f>
        <v>-81</v>
      </c>
      <c r="R23" s="5" t="str">
        <f>IF(Q23&gt;=D4,IF(R21=1,"",1),"")</f>
        <v/>
      </c>
      <c r="S23" s="168"/>
      <c r="T23" s="168" t="str">
        <f>IF(R23=1,1,"")</f>
        <v/>
      </c>
      <c r="U23" s="168"/>
    </row>
    <row r="24" spans="1:22" ht="18" customHeight="1">
      <c r="A24" s="436"/>
      <c r="B24" s="17"/>
      <c r="C24" s="17"/>
      <c r="D24" s="17"/>
      <c r="E24" s="17"/>
      <c r="F24" s="24"/>
      <c r="G24" s="24"/>
      <c r="H24" s="24"/>
      <c r="I24" s="24"/>
      <c r="P24" s="5">
        <v>3</v>
      </c>
      <c r="Q24" s="5">
        <f>T8</f>
        <v>-103</v>
      </c>
      <c r="R24" s="5" t="str">
        <f>IF(Q24&gt;=D4,IF(Q23&gt;=D4,"",1),"")</f>
        <v/>
      </c>
      <c r="U24" s="168" t="str">
        <f>IF(R24=1,1,"")</f>
        <v/>
      </c>
    </row>
    <row r="25" spans="1:22" ht="20.25" customHeight="1">
      <c r="A25" s="436"/>
      <c r="B25" s="17"/>
      <c r="C25" s="17"/>
      <c r="D25" s="17"/>
      <c r="E25" s="17"/>
      <c r="F25" s="24"/>
      <c r="G25" s="24"/>
      <c r="H25" s="24"/>
      <c r="I25" s="24"/>
      <c r="K25" s="5" t="str">
        <f>CONCATENATE(M25,"-",$O$7)</f>
        <v xml:space="preserve">1700-strieborná </v>
      </c>
      <c r="L25" s="6">
        <f>SUM(S21:S33)</f>
        <v>0</v>
      </c>
      <c r="M25" s="5">
        <v>1700</v>
      </c>
      <c r="O25" s="5" t="s">
        <v>652</v>
      </c>
      <c r="P25" s="167" t="s">
        <v>653</v>
      </c>
      <c r="Q25" s="5">
        <f>R8+S8</f>
        <v>-139</v>
      </c>
      <c r="R25" s="5" t="str">
        <f>IF(Q25&gt;=D4,IF(SUM(R21:R24)&gt;0,"",1),"")</f>
        <v/>
      </c>
      <c r="S25" s="168" t="str">
        <f>IF(R25=1,1,"")</f>
        <v/>
      </c>
      <c r="T25" s="168" t="str">
        <f>IF(R25=1,1,"")</f>
        <v/>
      </c>
    </row>
    <row r="26" spans="1:22" ht="12.75" customHeight="1">
      <c r="A26" s="436"/>
      <c r="B26" s="17"/>
      <c r="C26" s="21"/>
      <c r="D26" s="17"/>
      <c r="E26" s="17"/>
      <c r="F26" s="17"/>
      <c r="G26" s="452" t="str">
        <f>texty!$A$21</f>
        <v>partnerská zľava:</v>
      </c>
      <c r="H26" s="24"/>
      <c r="I26" s="24"/>
      <c r="K26" s="5" t="str">
        <f>CONCATENATE(M26,"-",$O$7)</f>
        <v xml:space="preserve">2350-strieborná </v>
      </c>
      <c r="L26" s="6">
        <f>SUM(T21:T33)</f>
        <v>0</v>
      </c>
      <c r="M26" s="5">
        <v>2350</v>
      </c>
      <c r="P26" s="5" t="s">
        <v>689</v>
      </c>
      <c r="Q26" s="5">
        <f>S8+S8</f>
        <v>-162</v>
      </c>
      <c r="R26" s="5" t="str">
        <f>IF(Q26&gt;=D4,IF(SUM(R21:R25)&gt;0,"",1),"")</f>
        <v/>
      </c>
      <c r="T26" s="168" t="str">
        <f>IF(R26=1,2,"")</f>
        <v/>
      </c>
    </row>
    <row r="27" spans="1:22" ht="12.75" customHeight="1">
      <c r="A27" s="441" t="str">
        <f>texty!A80</f>
        <v>Objednávacie kódy, ceny:</v>
      </c>
      <c r="B27" s="17"/>
      <c r="C27" s="21"/>
      <c r="D27" s="17"/>
      <c r="E27" s="17"/>
      <c r="F27" s="17"/>
      <c r="G27" s="142">
        <f>profil!T15</f>
        <v>0</v>
      </c>
      <c r="H27" s="454" t="s">
        <v>70</v>
      </c>
      <c r="I27" s="24"/>
      <c r="K27" s="5" t="str">
        <f>CONCATENATE(M27,"-",$O$7)</f>
        <v xml:space="preserve">3000-strieborná </v>
      </c>
      <c r="L27" s="6">
        <f>SUM(U21:U33)</f>
        <v>0</v>
      </c>
      <c r="M27" s="5">
        <v>3000</v>
      </c>
      <c r="N27" s="165"/>
      <c r="P27" s="5" t="s">
        <v>654</v>
      </c>
      <c r="Q27" s="5">
        <f>R8+T8</f>
        <v>-161</v>
      </c>
      <c r="R27" s="5" t="str">
        <f>IF(Q27&gt;=D4,IF(SUM(R21:R26)&gt;0,"",1),"")</f>
        <v/>
      </c>
      <c r="S27" s="168" t="str">
        <f>IF(R27=1,1,"")</f>
        <v/>
      </c>
      <c r="U27" s="168" t="str">
        <f>IF(R27=1,1,"")</f>
        <v/>
      </c>
    </row>
    <row r="28" spans="1:22" ht="12.75" customHeight="1" thickBot="1">
      <c r="A28" s="436"/>
      <c r="B28" s="19" t="s">
        <v>3</v>
      </c>
      <c r="C28" s="20" t="str">
        <f>texty!$A$16</f>
        <v>názov</v>
      </c>
      <c r="D28" s="19" t="str">
        <f>texty!$A$17</f>
        <v>ks</v>
      </c>
      <c r="E28" s="19" t="str">
        <f>texty!$A$18</f>
        <v>cena/ks</v>
      </c>
      <c r="F28" s="19" t="str">
        <f>texty!$A$19</f>
        <v>cena celkom</v>
      </c>
      <c r="G28" s="20" t="str">
        <f>texty!$A$20</f>
        <v>celkom netto:</v>
      </c>
      <c r="H28" s="24"/>
      <c r="I28" s="20" t="str">
        <f>texty!A29</f>
        <v>Poznámka:</v>
      </c>
      <c r="J28" s="18" t="s">
        <v>1218</v>
      </c>
      <c r="K28" s="6"/>
      <c r="L28" s="5">
        <f>COUNT(L25,L26,L27)</f>
        <v>3</v>
      </c>
      <c r="M28" s="165"/>
      <c r="N28" s="165"/>
      <c r="P28" s="5" t="s">
        <v>655</v>
      </c>
      <c r="Q28" s="5">
        <f>S8+T8</f>
        <v>-184</v>
      </c>
      <c r="R28" s="5" t="str">
        <f>IF(Q28&gt;=D4,IF(SUM(R21:R27)&gt;0,"",1),"")</f>
        <v/>
      </c>
      <c r="T28" s="168" t="str">
        <f>IF(R28=1,1,"")</f>
        <v/>
      </c>
      <c r="U28" s="168" t="str">
        <f>IF(R28=1,1,"")</f>
        <v/>
      </c>
    </row>
    <row r="29" spans="1:22" ht="12.75" customHeight="1" thickBot="1">
      <c r="A29" s="436" t="str">
        <f>texty!A81</f>
        <v>Horný profil:</v>
      </c>
      <c r="B29" s="16">
        <f>+VLOOKUP(K5,data!$C$176:$D$219,2,0)</f>
        <v>89106</v>
      </c>
      <c r="C29" s="25" t="str">
        <f>+VLOOKUP(B29,cennik!$A:$G,2,FALSE)</f>
        <v>SEVROLL Gemini horné vedenie 1,7m strieborná</v>
      </c>
      <c r="D29" s="17">
        <f>IF(B29="N/A",0,1)</f>
        <v>1</v>
      </c>
      <c r="E29" s="92">
        <f>+VLOOKUP(B29,cennik!$A:$G,3,FALSE)</f>
        <v>16.077369999999998</v>
      </c>
      <c r="F29" s="92">
        <f t="shared" ref="F29:F38" si="1">+E29*D29</f>
        <v>16.077369999999998</v>
      </c>
      <c r="G29" s="93">
        <f>+F29*(100-$G$27)/100</f>
        <v>16.077369999999998</v>
      </c>
      <c r="H29" s="24" t="str">
        <f>cennik!$B$2</f>
        <v>EUR</v>
      </c>
      <c r="I29" s="483" t="str">
        <f>IFERROR(IF((VLOOKUP(B29,cennik!A:L,12,0))="O",texty!$A$250,""),"")</f>
        <v/>
      </c>
      <c r="J29" s="196" t="str">
        <f>IF(D29&gt;0,IF(VLOOKUP(B29,cennik!A:L,12,FALSE)="O",1,""),"")</f>
        <v/>
      </c>
      <c r="K29" s="6"/>
      <c r="L29" s="165"/>
      <c r="M29" s="165"/>
      <c r="N29" s="165"/>
      <c r="P29" s="5" t="s">
        <v>690</v>
      </c>
      <c r="Q29" s="5">
        <f>T8+T8</f>
        <v>-206</v>
      </c>
      <c r="R29" s="5" t="str">
        <f>IF(Q29&gt;=D4,IF(SUM(R21:R28)&gt;0,"",1),"")</f>
        <v/>
      </c>
      <c r="U29" s="168" t="str">
        <f>IF(R29=1,2,"")</f>
        <v/>
      </c>
      <c r="V29" s="166"/>
    </row>
    <row r="30" spans="1:22" ht="12.75" customHeight="1" thickBot="1">
      <c r="A30" s="436" t="str">
        <f>texty!A82</f>
        <v>spodný profil:</v>
      </c>
      <c r="B30" s="16">
        <f>+VLOOKUP(M5,data!$C$4:$D$83,2,0)</f>
        <v>84385</v>
      </c>
      <c r="C30" s="25" t="str">
        <f>+VLOOKUP(B30,cennik!$A:$G,2,FALSE)</f>
        <v>SEVROLL Elegant spodné vedenie 1,7m striebor</v>
      </c>
      <c r="D30" s="17">
        <f>IF(B30="N/A",0,1)</f>
        <v>1</v>
      </c>
      <c r="E30" s="92">
        <f>+VLOOKUP(B30,cennik!$A:$G,3,FALSE)</f>
        <v>9.0389999999999997</v>
      </c>
      <c r="F30" s="92">
        <f t="shared" si="1"/>
        <v>9.0389999999999997</v>
      </c>
      <c r="G30" s="93">
        <f>+F30*(100-$G$27)/100</f>
        <v>9.0389999999999997</v>
      </c>
      <c r="H30" s="24" t="str">
        <f>cennik!$B$2</f>
        <v>EUR</v>
      </c>
      <c r="I30" s="483" t="str">
        <f>IFERROR(IF((VLOOKUP(B30,cennik!A:L,12,0))="O",texty!$A$250,""),"")</f>
        <v/>
      </c>
      <c r="J30" s="196" t="str">
        <f>IF(D30&gt;0,IF(VLOOKUP(B30,cennik!A:L,12,FALSE)="O",1,""),"")</f>
        <v/>
      </c>
      <c r="K30" s="6" t="s">
        <v>656</v>
      </c>
      <c r="L30" s="5" t="str">
        <f>IF(L25=0,IF(L26=0,K27,K26),K25)</f>
        <v xml:space="preserve">3000-strieborná </v>
      </c>
      <c r="M30" s="165">
        <f>IF(L30=K25,L25,IF(L30=K26,L26,IF(L30=K27,L27,"chyba")))</f>
        <v>0</v>
      </c>
      <c r="N30" s="165"/>
      <c r="O30" s="165"/>
      <c r="P30" s="5" t="s">
        <v>691</v>
      </c>
      <c r="Q30" s="5">
        <f>R8+R8+R8</f>
        <v>-174</v>
      </c>
      <c r="R30" s="5" t="str">
        <f>IF(Q30&gt;=D4,IF(SUM(R21:R29)&gt;0,"",1),"")</f>
        <v/>
      </c>
      <c r="S30" s="168" t="str">
        <f>IF(R30=1,3,"")</f>
        <v/>
      </c>
      <c r="V30" s="166"/>
    </row>
    <row r="31" spans="1:22" ht="12.75" customHeight="1">
      <c r="A31" s="436" t="str">
        <f>texty!A83</f>
        <v>krycí profil (maska):</v>
      </c>
      <c r="B31" s="16">
        <f>VLOOKUP(M5,data!$C$90:$D$169,2,0)</f>
        <v>318657</v>
      </c>
      <c r="C31" s="25" t="str">
        <f>IF(B31=data!$D$54,texty!$A$239,+VLOOKUP(B31,cennik!$A:$G,2,FALSE))</f>
        <v>SEV-maska Elegant II 1,7m strieborná</v>
      </c>
      <c r="D31" s="17">
        <f>IF(B31="N/A",0,1)</f>
        <v>1</v>
      </c>
      <c r="E31" s="92">
        <f>IF(B31=data!$D$63,0,+VLOOKUP(B31,cennik!$A:$G,3,FALSE))</f>
        <v>2.8683800000000002</v>
      </c>
      <c r="F31" s="92">
        <f>+E31*D31</f>
        <v>2.8683800000000002</v>
      </c>
      <c r="G31" s="93">
        <f>+F31*(100-$G$27)/100</f>
        <v>2.8683800000000002</v>
      </c>
      <c r="H31" s="24" t="str">
        <f>cennik!$B$2</f>
        <v>EUR</v>
      </c>
      <c r="I31" s="483" t="str">
        <f>IFERROR(IF((VLOOKUP(B31,cennik!A:L,12,0))="O",texty!$A$250,""),"")</f>
        <v/>
      </c>
      <c r="J31" s="196" t="str">
        <f>IF(D31&gt;0,IF(VLOOKUP(B31,cennik!A:L,12,FALSE)="O",1,""),"")</f>
        <v/>
      </c>
      <c r="K31" s="6" t="s">
        <v>657</v>
      </c>
      <c r="L31" s="5" t="str">
        <f>IF(L30=K27,"jiné",IF(L30=K25,IF(L26&lt;&gt;0,K26,IF(L27&lt;&gt;0,K27,"jiné")),IF(L27&lt;&gt;0,K27,"jiné")))</f>
        <v>jiné</v>
      </c>
      <c r="M31" s="165">
        <f>IF(L31=K26,L26,IF(L31=K27,L27,IF(L31=K28,L28,0)))</f>
        <v>0</v>
      </c>
      <c r="N31" s="165"/>
      <c r="O31" s="165"/>
      <c r="P31" s="5" t="s">
        <v>658</v>
      </c>
      <c r="Q31" s="5">
        <f>R8+2*S8</f>
        <v>-220</v>
      </c>
      <c r="R31" s="5" t="str">
        <f>IF(Q31&gt;=D4,IF(SUM(R21:R30)&gt;0,"",1),"")</f>
        <v/>
      </c>
      <c r="S31" s="168" t="str">
        <f>IF(R31=1,1,"")</f>
        <v/>
      </c>
      <c r="T31" s="168" t="str">
        <f>IF(R31=1,2,"")</f>
        <v/>
      </c>
    </row>
    <row r="32" spans="1:22" ht="12.75" customHeight="1">
      <c r="A32" s="436" t="str">
        <f>texty!A84</f>
        <v>horné vozíky (sady)</v>
      </c>
      <c r="B32" s="16">
        <v>228009</v>
      </c>
      <c r="C32" s="25" t="str">
        <f>+VLOOKUP(B32,cennik!$A:$G,2,FALSE)</f>
        <v>SEVROLL horný vozík Gemini symetr.10mm-2ks</v>
      </c>
      <c r="D32" s="17">
        <f>IF((D53+D54)&gt;D4,0,D4-(D53+D54))</f>
        <v>3</v>
      </c>
      <c r="E32" s="92">
        <f>+VLOOKUP(B32,cennik!$A:$G,3,FALSE)</f>
        <v>5.3269799999999998</v>
      </c>
      <c r="F32" s="92">
        <f t="shared" si="1"/>
        <v>15.98094</v>
      </c>
      <c r="G32" s="93">
        <f>+F32*(100-$G$27)/100</f>
        <v>15.98094</v>
      </c>
      <c r="H32" s="24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L32" s="165"/>
      <c r="M32" s="165"/>
      <c r="N32" s="165"/>
      <c r="O32" s="165"/>
      <c r="P32" s="5" t="s">
        <v>692</v>
      </c>
      <c r="Q32" s="5">
        <f>S8+S8+S8</f>
        <v>-243</v>
      </c>
      <c r="R32" s="5" t="str">
        <f>IF(Q32&gt;=D4,IF(SUM(R21:R31)&gt;0,"",1),"")</f>
        <v/>
      </c>
      <c r="T32" s="168" t="str">
        <f>IF(R32=1,3,"")</f>
        <v/>
      </c>
    </row>
    <row r="33" spans="1:21" ht="12.75" customHeight="1">
      <c r="A33" s="436" t="str">
        <f>texty!A85</f>
        <v>spodné vozíky (sada)</v>
      </c>
      <c r="B33" s="16">
        <f>IF(F4=L60,328321,229441)</f>
        <v>328321</v>
      </c>
      <c r="C33" s="25" t="str">
        <f>+VLOOKUP(B33,cennik!$A:$G,2,FALSE)</f>
        <v>SEV-spodní vozík WD10 V 2ks bez pozicionéru</v>
      </c>
      <c r="D33" s="17">
        <f>+D4</f>
        <v>3</v>
      </c>
      <c r="E33" s="92">
        <f>+VLOOKUP(B33,cennik!$A:$G,3,FALSE)</f>
        <v>6.1947299999999998</v>
      </c>
      <c r="F33" s="92">
        <f t="shared" si="1"/>
        <v>18.58419</v>
      </c>
      <c r="G33" s="93">
        <f t="shared" ref="G33:G38" si="2">+F33*(100-$G$27)/100</f>
        <v>18.58419</v>
      </c>
      <c r="H33" s="24" t="str">
        <f>cennik!$B$2</f>
        <v>EUR</v>
      </c>
      <c r="I33" s="483" t="str">
        <f>IFERROR(IF((VLOOKUP(B33,cennik!A:L,12,0))="O",texty!$A$250,""),"")</f>
        <v/>
      </c>
      <c r="J33" s="196" t="str">
        <f>IF(D33&gt;0,IF(VLOOKUP(B33,cennik!A:L,12,FALSE)="O",1,""),"")</f>
        <v/>
      </c>
      <c r="K33" s="6"/>
      <c r="L33" s="165"/>
      <c r="M33" s="165"/>
      <c r="N33" s="165"/>
      <c r="O33" s="165"/>
      <c r="P33" s="5" t="s">
        <v>659</v>
      </c>
      <c r="Q33" s="5">
        <f>R8+2*T8</f>
        <v>-264</v>
      </c>
      <c r="R33" s="5" t="str">
        <f>IF(Q33&gt;=D4,IF(SUM(R21:R32)&gt;0,"",1),"")</f>
        <v/>
      </c>
      <c r="S33" s="168" t="str">
        <f>IF(R33=1,1,"")</f>
        <v/>
      </c>
      <c r="U33" s="168" t="str">
        <f>IF(R33=1,2,"")</f>
        <v/>
      </c>
    </row>
    <row r="34" spans="1:21" ht="12.75" customHeight="1">
      <c r="A34" s="436" t="str">
        <f>texty!A89</f>
        <v>dorazový kartáč</v>
      </c>
      <c r="B34" s="16">
        <f>+VLOOKUP(K35,data!$C$695:$D$713,2,0)</f>
        <v>98067</v>
      </c>
      <c r="C34" s="25" t="str">
        <f>+VLOOKUP(B34,cennik!$A:$G,2,FALSE)</f>
        <v>SEVROLL dorazový kartáč zásuvný 14,5x4mm</v>
      </c>
      <c r="D34" s="17">
        <f>CEILING((B4*D4*2/1000),1)</f>
        <v>0</v>
      </c>
      <c r="E34" s="92">
        <f>+VLOOKUP(B34,cennik!$A:$G,3,FALSE)</f>
        <v>0.17649000000000001</v>
      </c>
      <c r="F34" s="92">
        <f t="shared" si="1"/>
        <v>0</v>
      </c>
      <c r="G34" s="93">
        <f t="shared" si="2"/>
        <v>0</v>
      </c>
      <c r="H34" s="24" t="str">
        <f>cennik!$B$2</f>
        <v>EUR</v>
      </c>
      <c r="I34" s="483" t="str">
        <f>IFERROR(IF((VLOOKUP(B34,cennik!A:L,12,0))="O",texty!$A$250,""),"")</f>
        <v/>
      </c>
      <c r="J34" s="196" t="str">
        <f>IF(D34&gt;0,IF(VLOOKUP(B34,cennik!A:L,12,FALSE)="O",1,""),"")</f>
        <v/>
      </c>
      <c r="K34" s="5">
        <v>14.5</v>
      </c>
    </row>
    <row r="35" spans="1:21" ht="12.75" customHeight="1">
      <c r="A35" s="436" t="str">
        <f>texty!A91</f>
        <v>úchytková lišta</v>
      </c>
      <c r="B35" s="16">
        <f>IF(B11&gt;2700, VLOOKUP(O7,data!$C$355:$D$358,2,0),IF(B11&lt;1501, VLOOKUP(O7,data!$C$355:$D$358,2,0),IF(B11&gt;1347, VLOOKUP(O7,data!$C$351:$D$354,2,0), VLOOKUP(O7,data!$C$351:$D$354,2,0))))</f>
        <v>278057</v>
      </c>
      <c r="C35" s="25" t="str">
        <f>+VLOOKUP(B35,cennik!$A:$G,2,FALSE)</f>
        <v>SEVROLL Pax úchytová lišta 3m strieborná</v>
      </c>
      <c r="D35" s="17">
        <f>IF(B11&lt;=1347,D4*2/2,D4*2)</f>
        <v>3</v>
      </c>
      <c r="E35" s="92">
        <f>+VLOOKUP(B35,cennik!$A:$G,3,FALSE)</f>
        <v>26.27336</v>
      </c>
      <c r="F35" s="92">
        <f t="shared" si="1"/>
        <v>78.820080000000004</v>
      </c>
      <c r="G35" s="93">
        <f t="shared" si="2"/>
        <v>78.820080000000004</v>
      </c>
      <c r="H35" s="24" t="str">
        <f>cennik!$B$2</f>
        <v>EUR</v>
      </c>
      <c r="I35" s="483" t="str">
        <f>IFERROR(IF((VLOOKUP(B35,cennik!A:L,12,0))="O",texty!$A$250,""),"")</f>
        <v>Na objednávku</v>
      </c>
      <c r="J35" s="196">
        <f>IF(D35&gt;0,IF(VLOOKUP(B35,cennik!A:L,12,FALSE)="O",1,""),"")</f>
        <v>1</v>
      </c>
      <c r="K35" s="5" t="str">
        <f>CONCATENATE(K34,"-",E4)</f>
        <v xml:space="preserve">14,5-strieborná </v>
      </c>
    </row>
    <row r="36" spans="1:21" ht="12.75" customHeight="1">
      <c r="A36" s="436" t="str">
        <f>texty!A92</f>
        <v>spojovacia skrutka</v>
      </c>
      <c r="B36" s="16">
        <v>89244</v>
      </c>
      <c r="C36" s="25" t="str">
        <f>+VLOOKUP(B36,cennik!$A:$G,2,FALSE)</f>
        <v>SEVROLL šroubovrut 6,3*32 -Sevroll a Simple</v>
      </c>
      <c r="D36" s="17">
        <f>+D4*4</f>
        <v>12</v>
      </c>
      <c r="E36" s="92">
        <f>+VLOOKUP(B36,cennik!$A:$G,3,FALSE)</f>
        <v>0.14462</v>
      </c>
      <c r="F36" s="92">
        <f t="shared" si="1"/>
        <v>1.7354400000000001</v>
      </c>
      <c r="G36" s="93">
        <f>+F36*(100-$G$27)/100</f>
        <v>1.7354400000000001</v>
      </c>
      <c r="H36" s="24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</row>
    <row r="37" spans="1:21" ht="12.75" customHeight="1">
      <c r="A37" s="436" t="str">
        <f>texty!A93</f>
        <v>horný profil rámu (vodiaca lišta)</v>
      </c>
      <c r="B37" s="16">
        <f>VLOOKUP(N5,data!C286:D294,2,0)</f>
        <v>278058</v>
      </c>
      <c r="C37" s="25" t="str">
        <f>+VLOOKUP(B37,cennik!$A:$G,2,FALSE)</f>
        <v>SEVROLL Pax horná vodiaca lišta 3m stieb</v>
      </c>
      <c r="D37" s="65">
        <f>M30+M31</f>
        <v>0</v>
      </c>
      <c r="E37" s="92">
        <f>+VLOOKUP(B37,cennik!$A:$G,3,FALSE)</f>
        <v>25.839490000000001</v>
      </c>
      <c r="F37" s="92">
        <f t="shared" si="1"/>
        <v>0</v>
      </c>
      <c r="G37" s="93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</row>
    <row r="38" spans="1:21" ht="12.75" customHeight="1">
      <c r="A38" s="436" t="str">
        <f>texty!A95</f>
        <v>horizontálny spodný profil rámu</v>
      </c>
      <c r="B38" s="16">
        <f>VLOOKUP(N5,data!C336:D346,2,0)</f>
        <v>278059</v>
      </c>
      <c r="C38" s="25" t="str">
        <f>+VLOOKUP(B38,cennik!$A:$G,2,FALSE)</f>
        <v>SEVROLL Pax spodná krycia lišta 3m stireb</v>
      </c>
      <c r="D38" s="65">
        <f>M30+M31</f>
        <v>0</v>
      </c>
      <c r="E38" s="92">
        <f>+VLOOKUP(B38,cennik!$A:$G,3,FALSE)</f>
        <v>29.720230000000001</v>
      </c>
      <c r="F38" s="92">
        <f t="shared" si="1"/>
        <v>0</v>
      </c>
      <c r="G38" s="93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</row>
    <row r="39" spans="1:21" ht="12.75" customHeight="1">
      <c r="A39" s="436" t="str">
        <f>texty!$A$234</f>
        <v> záslepka otvorov (4 ks)</v>
      </c>
      <c r="B39" s="24">
        <f>+VLOOKUP(O7,data!$C$365:$D$367,2,0)</f>
        <v>278060</v>
      </c>
      <c r="C39" s="25" t="str">
        <f>+VLOOKUP(B39,cennik!$A:$G,2,FALSE)</f>
        <v>SEVROLL Pax záslepka profilu (4ks) strieb</v>
      </c>
      <c r="D39" s="17">
        <f>D4</f>
        <v>3</v>
      </c>
      <c r="E39" s="92">
        <f>+VLOOKUP(B39,cennik!$A:$G,3,FALSE)</f>
        <v>7.9784199999999998</v>
      </c>
      <c r="F39" s="97">
        <f>+CEILING(D39,1)*E39</f>
        <v>23.93526</v>
      </c>
      <c r="G39" s="93">
        <f>+F39*(100-$G$27)/100</f>
        <v>23.93526</v>
      </c>
      <c r="H39" s="24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</row>
    <row r="40" spans="1:21" ht="12.75" customHeight="1">
      <c r="I40" s="483" t="str">
        <f>IFERROR(IF((VLOOKUP(B40,cennik!A:L,12,0))="O",texty!$A$250,""),"")</f>
        <v/>
      </c>
    </row>
    <row r="41" spans="1:21" ht="12.75" customHeight="1">
      <c r="A41" s="21"/>
      <c r="B41" s="21"/>
      <c r="C41" s="21"/>
      <c r="D41" s="21"/>
      <c r="E41" s="375"/>
      <c r="F41" s="375"/>
      <c r="G41" s="375"/>
      <c r="H41" s="24"/>
      <c r="I41" s="483" t="str">
        <f>IFERROR(IF((VLOOKUP(B41,cennik!A:L,12,0))="O",texty!$A$250,""),"")</f>
        <v/>
      </c>
      <c r="J41" s="196"/>
    </row>
    <row r="42" spans="1:21" ht="12.75" customHeight="1">
      <c r="A42" s="441" t="str">
        <f>texty!$A$66</f>
        <v>Voliteľné príslušenstvo:</v>
      </c>
      <c r="B42" s="15"/>
      <c r="D42" s="26" t="str">
        <f>texty!A33</f>
        <v>zadajte počet:</v>
      </c>
      <c r="E42" s="92"/>
      <c r="F42" s="92"/>
      <c r="G42" s="375"/>
      <c r="H42" s="24"/>
      <c r="I42" s="483" t="str">
        <f>IFERROR(IF((VLOOKUP(B42,cennik!A:L,12,0))="O",texty!$A$250,""),"")</f>
        <v/>
      </c>
      <c r="J42" s="196"/>
    </row>
    <row r="43" spans="1:21" ht="12.75" customHeight="1">
      <c r="A43" s="442" t="str">
        <f>texty!A88</f>
        <v>pozicionér do horného vedenia</v>
      </c>
      <c r="B43" s="15">
        <v>298035</v>
      </c>
      <c r="C43" s="25" t="str">
        <f>+VLOOKUP(B43,cennik!$A:$G,2,FALSE)</f>
        <v>SEVROLL Fix pozicionér pre horný vozík tran.</v>
      </c>
      <c r="D43" s="29"/>
      <c r="E43" s="374">
        <f>+VLOOKUP(B43,cennik!$A:$G,3,FALSE)</f>
        <v>1.0605800000000001</v>
      </c>
      <c r="F43" s="375">
        <f>+CEILING(D43,1)*E43</f>
        <v>0</v>
      </c>
      <c r="G43" s="93">
        <f t="shared" ref="G43:G54" si="3">+F43*(100-$G$27)/100</f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196" t="str">
        <f>IF(D43&gt;0,IF(VLOOKUP(B43,cennik!A:L,12,FALSE)="O",1,""),"")</f>
        <v/>
      </c>
    </row>
    <row r="44" spans="1:21" ht="12.75" customHeight="1">
      <c r="A44" s="442" t="str">
        <f>texty!A86</f>
        <v xml:space="preserve">pozicionér </v>
      </c>
      <c r="B44" s="16">
        <f>IF(F4="Gemini",387424,89063)</f>
        <v>89063</v>
      </c>
      <c r="C44" s="25" t="str">
        <f>+VLOOKUP(B44,cennik!$A:$G,2,FALSE)</f>
        <v>SEV - pozicionér HI-TEC</v>
      </c>
      <c r="D44" s="29"/>
      <c r="E44" s="374">
        <f>+VLOOKUP(B44,cennik!$A:$G,3,FALSE)</f>
        <v>0.31335000000000002</v>
      </c>
      <c r="F44" s="375">
        <f>+CEILING(D44,1)*E44</f>
        <v>0</v>
      </c>
      <c r="G44" s="93">
        <f t="shared" si="3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</row>
    <row r="45" spans="1:21" ht="13">
      <c r="A45" s="442" t="str">
        <f>texty!A236</f>
        <v> nalepovacia úchytka, biela lesk</v>
      </c>
      <c r="B45" s="17">
        <v>288125</v>
      </c>
      <c r="C45" s="25" t="str">
        <f>+VLOOKUP(B45,cennik!$A:$G,2,FALSE)</f>
        <v>SEVROLL Pax nalepovacia úchytka biela</v>
      </c>
      <c r="D45" s="29"/>
      <c r="E45" s="374">
        <f>+VLOOKUP(B45,cennik!$A:$G,3,FALSE)</f>
        <v>9.4246599999999994</v>
      </c>
      <c r="F45" s="375">
        <f>+CEILING(D45,1)*E45</f>
        <v>0</v>
      </c>
      <c r="G45" s="93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</row>
    <row r="46" spans="1:21" ht="12.75" customHeight="1">
      <c r="A46" s="442" t="str">
        <f>texty!A237</f>
        <v> nalepovacia úchytka, strieborná</v>
      </c>
      <c r="B46" s="24">
        <v>288126</v>
      </c>
      <c r="C46" s="25" t="str">
        <f>+VLOOKUP(B46,cennik!$A:$G,2,FALSE)</f>
        <v>SEVROLL Pax nalepovacia úchytka strieborná</v>
      </c>
      <c r="D46" s="29"/>
      <c r="E46" s="92">
        <f>+VLOOKUP(B46,cennik!$A:$G,3,FALSE)</f>
        <v>7.8097000000000003</v>
      </c>
      <c r="F46" s="97">
        <f>+CEILING(D46,1)*E46</f>
        <v>0</v>
      </c>
      <c r="G46" s="93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</row>
    <row r="47" spans="1:21" ht="12.75" customHeight="1">
      <c r="A47" s="436" t="str">
        <f>texty!$A$233</f>
        <v> Výstuha – profil 3m</v>
      </c>
      <c r="B47" s="24">
        <v>283904</v>
      </c>
      <c r="C47" s="25" t="str">
        <f>+VLOOKUP(B47,cennik!$A:$G,2,FALSE)</f>
        <v>SEVROLL Pax výstuha 3m strieb</v>
      </c>
      <c r="D47" s="29"/>
      <c r="E47" s="92">
        <f>+VLOOKUP(B47,cennik!$A:$G,3,FALSE)</f>
        <v>31.98601</v>
      </c>
      <c r="F47" s="97">
        <f>+CEILING(D47,1)*E47</f>
        <v>0</v>
      </c>
      <c r="G47" s="93">
        <f t="shared" si="3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</row>
    <row r="48" spans="1:21" ht="12.75" customHeight="1">
      <c r="A48" s="436" t="str">
        <f>texty!$A$228</f>
        <v> Tlmič dorazu MINI do 25 kg (pár)</v>
      </c>
      <c r="B48" s="16">
        <v>318662</v>
      </c>
      <c r="C48" s="25" t="str">
        <f>+VLOOKUP(B48,cennik!$A:$G,2,FALSE)</f>
        <v>SEVROLL tlmič dorazu Mini SV25 - 2ks</v>
      </c>
      <c r="D48" s="29"/>
      <c r="E48" s="92">
        <f>+VLOOKUP(B48,cennik!$A:$G,3,FALSE)</f>
        <v>22.368510000000001</v>
      </c>
      <c r="F48" s="97">
        <f t="shared" ref="F48:F54" si="4">+CEILING(D48,1)*E48</f>
        <v>0</v>
      </c>
      <c r="G48" s="93">
        <f t="shared" si="3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</row>
    <row r="49" spans="1:12" ht="12.75" customHeight="1">
      <c r="A49" s="436" t="str">
        <f>texty!$A$229</f>
        <v> Tlmič dorazu MINI do 40 kg (pár)</v>
      </c>
      <c r="B49" s="24">
        <v>283956</v>
      </c>
      <c r="C49" s="25" t="str">
        <f>+VLOOKUP(B49,cennik!$A:$G,2,FALSE)</f>
        <v>SEVROLL tlmič dorazu Mini SV40 - 2ks</v>
      </c>
      <c r="D49" s="29"/>
      <c r="E49" s="92">
        <f>+VLOOKUP(B49,cennik!$A:$G,3,FALSE)</f>
        <v>22.368510000000001</v>
      </c>
      <c r="F49" s="97">
        <f t="shared" si="4"/>
        <v>0</v>
      </c>
      <c r="G49" s="93">
        <f t="shared" si="3"/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6"/>
    </row>
    <row r="50" spans="1:12" ht="12.75" customHeight="1">
      <c r="A50" s="436" t="str">
        <f>texty!$A$230</f>
        <v> Tlmič dorazu MINI do 60 kg (pár)</v>
      </c>
      <c r="B50" s="24">
        <v>351743</v>
      </c>
      <c r="C50" s="25" t="str">
        <f>+VLOOKUP(B50,cennik!$A:$G,2,FALSE)</f>
        <v/>
      </c>
      <c r="D50" s="29"/>
      <c r="E50" s="92">
        <f>+VLOOKUP(B50,cennik!$A:$G,3,FALSE)</f>
        <v>22.368510000000001</v>
      </c>
      <c r="F50" s="97">
        <f t="shared" si="4"/>
        <v>0</v>
      </c>
      <c r="G50" s="93">
        <f t="shared" si="3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2" ht="12.75" customHeight="1">
      <c r="A51" s="436" t="str">
        <f>texty!$A$231</f>
        <v> Tlmič pre stredné krídlo do 25 kg</v>
      </c>
      <c r="B51" s="24">
        <v>318663</v>
      </c>
      <c r="C51" s="25" t="str">
        <f>+VLOOKUP(B51,cennik!$A:$G,2,FALSE)</f>
        <v>SEVROLL tlmič Central 10/18mm obojst. 25 kg</v>
      </c>
      <c r="D51" s="29"/>
      <c r="E51" s="92">
        <f>+VLOOKUP(B51,cennik!$A:$G,3,FALSE)</f>
        <v>47.918750000000003</v>
      </c>
      <c r="F51" s="97">
        <f t="shared" si="4"/>
        <v>0</v>
      </c>
      <c r="G51" s="93">
        <f t="shared" si="3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6"/>
    </row>
    <row r="52" spans="1:12" ht="12.75" customHeight="1">
      <c r="A52" s="436" t="str">
        <f>texty!$A$232</f>
        <v> Tlmič pre stredné krídlo do 40 kg</v>
      </c>
      <c r="B52" s="24">
        <v>283955</v>
      </c>
      <c r="C52" s="25" t="str">
        <f>+VLOOKUP(B52,cennik!$A:$G,2,FALSE)</f>
        <v>SEVROLL tlmič Central 10/18mm obojst.25-40kg</v>
      </c>
      <c r="D52" s="29"/>
      <c r="E52" s="92">
        <f>+VLOOKUP(B52,cennik!$A:$G,3,FALSE)</f>
        <v>47.918750000000003</v>
      </c>
      <c r="F52" s="97">
        <f t="shared" si="4"/>
        <v>0</v>
      </c>
      <c r="G52" s="93">
        <f t="shared" si="3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</row>
    <row r="53" spans="1:12" ht="12.75" customHeight="1">
      <c r="A53" s="436" t="str">
        <f>texty!A97</f>
        <v>tlmič dorazu (pár) 25 kg</v>
      </c>
      <c r="B53" s="24">
        <v>227185</v>
      </c>
      <c r="C53" s="25" t="str">
        <f>+VLOOKUP(B53,cennik!$A:$G,2,FALSE)</f>
        <v>K-SEVROLL tlmič dorazu 10/18mm 14-25kg(L+P)</v>
      </c>
      <c r="D53" s="29"/>
      <c r="E53" s="92">
        <f>+VLOOKUP(B53,cennik!$A:$G,3,FALSE)</f>
        <v>0</v>
      </c>
      <c r="F53" s="97">
        <f t="shared" si="4"/>
        <v>0</v>
      </c>
      <c r="G53" s="93">
        <f t="shared" si="3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</row>
    <row r="54" spans="1:12" ht="12.75" customHeight="1">
      <c r="A54" s="436" t="str">
        <f>texty!A98</f>
        <v>tlmič dorazu (pár) 50 kg</v>
      </c>
      <c r="B54" s="24">
        <v>227187</v>
      </c>
      <c r="C54" s="25" t="str">
        <f>+VLOOKUP(B54,cennik!$A:$G,2,FALSE)</f>
        <v>K-SEVROLL tlmič dorazu 10/18mm 25-50kg(L+P)</v>
      </c>
      <c r="D54" s="29"/>
      <c r="E54" s="92">
        <f>+VLOOKUP(B54,cennik!$A:$G,3,FALSE)</f>
        <v>0</v>
      </c>
      <c r="F54" s="97">
        <f t="shared" si="4"/>
        <v>0</v>
      </c>
      <c r="G54" s="93">
        <f t="shared" si="3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</row>
    <row r="55" spans="1:12" ht="12.75" customHeight="1">
      <c r="A55" s="436" t="str">
        <f>texty!A90</f>
        <v>protiprachový kartáč</v>
      </c>
      <c r="B55" s="17">
        <v>95946</v>
      </c>
      <c r="C55" s="25" t="str">
        <f>+VLOOKUP(B55,cennik!$A:$G,2,FALSE)</f>
        <v>SEVROLL protiprach.kartáč zásuvný 4,8x13mm</v>
      </c>
      <c r="D55" s="30"/>
      <c r="E55" s="92">
        <f>+VLOOKUP(B55,cennik!$A:$G,3,FALSE)</f>
        <v>0.16506999999999999</v>
      </c>
      <c r="F55" s="92">
        <f>+E55*D55</f>
        <v>0</v>
      </c>
      <c r="G55" s="93">
        <f>+F55*(100-$G$27)/100</f>
        <v>0</v>
      </c>
      <c r="H55" s="24" t="str">
        <f>cennik!$B$2</f>
        <v>EUR</v>
      </c>
      <c r="I55" s="483" t="str">
        <f>IFERROR(IF((VLOOKUP(B55,cennik!A:L,12,0))="O",texty!$A$250,""),"")</f>
        <v/>
      </c>
      <c r="J55" s="196" t="str">
        <f>IF(D55&gt;0,IF(VLOOKUP(B55,cennik!A:L,12,FALSE)="O",1,""),"")</f>
        <v/>
      </c>
    </row>
    <row r="56" spans="1:12" ht="12.75" customHeight="1">
      <c r="A56" s="436" t="str">
        <f>texty!A92</f>
        <v>spojovacia skrutka</v>
      </c>
      <c r="B56" s="16">
        <v>89244</v>
      </c>
      <c r="C56" s="25" t="str">
        <f>+VLOOKUP(B56,cennik!$A:$G,2,FALSE)</f>
        <v>SEVROLL šroubovrut 6,3*32 -Sevroll a Simple</v>
      </c>
      <c r="D56" s="473"/>
      <c r="E56" s="92">
        <f>+VLOOKUP(B56,cennik!$A:$G,3,FALSE)</f>
        <v>0.14462</v>
      </c>
      <c r="F56" s="92">
        <f>+E56*D56</f>
        <v>0</v>
      </c>
      <c r="G56" s="93">
        <f>+F56*(100-$G$27)/100</f>
        <v>0</v>
      </c>
      <c r="H56" s="24" t="str">
        <f>cennik!$B$2</f>
        <v>EUR</v>
      </c>
      <c r="I56" s="483" t="str">
        <f>IFERROR(IF((VLOOKUP(B56,cennik!A:L,12,0))="O",texty!$A$250,""),"")</f>
        <v/>
      </c>
      <c r="J56" s="196" t="str">
        <f>IF(D56&gt;0,IF(VLOOKUP(B56,cennik!A:L,12,FALSE)="O",1,""),"")</f>
        <v/>
      </c>
    </row>
    <row r="57" spans="1:12" ht="12.75" customHeight="1">
      <c r="A57" s="436"/>
      <c r="B57" s="16"/>
      <c r="C57" s="25"/>
      <c r="D57" s="92"/>
      <c r="E57" s="92"/>
      <c r="F57" s="92"/>
      <c r="G57" s="93"/>
      <c r="H57" s="24"/>
      <c r="I57" s="453"/>
      <c r="J57" s="196"/>
    </row>
    <row r="58" spans="1:12" ht="12.75" customHeight="1">
      <c r="A58" s="443" t="str">
        <f>CONCATENATE(texty!$A$6,ROUND((C12/1000),1),texty!$A$8)</f>
        <v>Pokiaľ budete používať ako výplň sklo / zrkadlo, je nutné doobjednať tesnenie. Dĺžka tesnenia na jedno krídlo je 0m, pokiaľ je preskenných viac krídel, treba vynásobiť</v>
      </c>
      <c r="B58" s="42"/>
      <c r="C58" s="43"/>
      <c r="D58" s="42"/>
      <c r="E58" s="98"/>
      <c r="F58" s="98"/>
      <c r="G58" s="99"/>
      <c r="H58" s="24"/>
      <c r="I58" s="453"/>
      <c r="J58" s="196"/>
    </row>
    <row r="59" spans="1:12" ht="16">
      <c r="A59" s="444" t="str">
        <f>texty!$A$190</f>
        <v>Ďalšie príslušenstvo</v>
      </c>
      <c r="B59" s="21"/>
      <c r="C59" s="21"/>
      <c r="D59" s="21"/>
      <c r="E59" s="375"/>
      <c r="F59" s="375"/>
      <c r="G59" s="375"/>
      <c r="H59" s="24"/>
      <c r="I59" s="453"/>
      <c r="J59" s="196"/>
    </row>
    <row r="60" spans="1:12" ht="12.75" customHeight="1">
      <c r="A60" s="444" t="str">
        <f>texty!$A$244</f>
        <v>Technický nákres tohoto systému</v>
      </c>
      <c r="B60" s="172">
        <v>128842</v>
      </c>
      <c r="C60" s="172" t="str">
        <f>VLOOKUP(B60,cennik!A:C,2,0)</f>
        <v>SEVROLL-VRTÁK STUPŇOVITÝ 6,5/9,5mm</v>
      </c>
      <c r="D60" s="45"/>
      <c r="E60" s="92">
        <f>+VLOOKUP(B60,cennik!$A:$G,3,FALSE)</f>
        <v>23.986910000000002</v>
      </c>
      <c r="F60" s="97">
        <f>+CEILING(D60,1)*E60</f>
        <v>0</v>
      </c>
      <c r="G60" s="93">
        <f>F60</f>
        <v>0</v>
      </c>
      <c r="H60" s="6" t="str">
        <f>cennik!$B$2</f>
        <v>EUR</v>
      </c>
      <c r="I60" s="196"/>
      <c r="J60" s="196" t="str">
        <f>IF(D60&gt;0,IF(VLOOKUP(B60,cennik!A:L,12,FALSE)="O",1,""),"")</f>
        <v/>
      </c>
      <c r="K60" s="5" t="str">
        <f>texty!A128</f>
        <v xml:space="preserve">strieborná </v>
      </c>
      <c r="L60" s="5" t="s">
        <v>2884</v>
      </c>
    </row>
    <row r="61" spans="1:12" ht="12.75" customHeight="1">
      <c r="A61" s="646" t="str">
        <f>IF(SUM(D53:D54)&gt;0,IF(C7&lt;(B4/3),texty!$A$212,""),"")</f>
        <v/>
      </c>
      <c r="B61" s="646"/>
      <c r="C61" s="646"/>
      <c r="D61" s="646"/>
      <c r="E61" s="646"/>
      <c r="F61" s="646"/>
      <c r="G61" s="646"/>
      <c r="H61" s="646"/>
      <c r="I61" s="646"/>
      <c r="J61" s="135"/>
      <c r="K61" s="5" t="str">
        <f>texty!A132</f>
        <v>biela lesk</v>
      </c>
      <c r="L61" s="5" t="s">
        <v>45</v>
      </c>
    </row>
    <row r="62" spans="1:12" ht="12.75" customHeight="1">
      <c r="A62" s="21"/>
      <c r="B62" s="17"/>
      <c r="C62" s="17"/>
      <c r="D62" s="77" t="str">
        <f>texty!$A$15</f>
        <v>CELKOM  (bez DPH)</v>
      </c>
      <c r="E62" s="455"/>
      <c r="F62" s="101">
        <f>SUM(F29:F60)</f>
        <v>167.04066</v>
      </c>
      <c r="G62" s="102">
        <f>SUM(G29:G60)</f>
        <v>167.04066</v>
      </c>
      <c r="H62" s="24" t="str">
        <f>cennik!$B$2</f>
        <v>EUR</v>
      </c>
      <c r="I62" s="24"/>
      <c r="J62" s="186"/>
      <c r="K62" s="5" t="str">
        <f>data!$J$17</f>
        <v>čierna mat</v>
      </c>
    </row>
    <row r="63" spans="1:12" ht="12.75" customHeight="1">
      <c r="A63" s="456" t="str">
        <f>texty!A14</f>
        <v>Vaša poznámka:</v>
      </c>
      <c r="B63" s="637"/>
      <c r="C63" s="638"/>
      <c r="D63" s="638"/>
      <c r="E63" s="638"/>
      <c r="F63" s="638"/>
      <c r="G63" s="638"/>
      <c r="H63" s="24"/>
      <c r="I63" s="24"/>
      <c r="J63" s="186"/>
    </row>
    <row r="64" spans="1:12" ht="12.75" customHeight="1">
      <c r="A64" s="639">
        <f>profil!$U$15</f>
        <v>0</v>
      </c>
      <c r="B64" s="640"/>
      <c r="C64" s="640"/>
      <c r="D64" s="640"/>
      <c r="E64" s="640"/>
      <c r="F64" s="640"/>
      <c r="G64" s="640"/>
      <c r="H64" s="24"/>
      <c r="I64" s="24"/>
    </row>
    <row r="65" spans="1:13" ht="12.75" customHeight="1">
      <c r="A65" s="641" t="str">
        <f>IF(M65=1,texty!$A$215,IF(J65&gt;0,texty!$A$214,""))</f>
        <v>některé položky sú na objednávku, počítajte prosím s dodaciou  lehotou  do 5 týždnov</v>
      </c>
      <c r="B65" s="641"/>
      <c r="C65" s="641"/>
      <c r="D65" s="641"/>
      <c r="E65" s="641"/>
      <c r="F65" s="641"/>
      <c r="G65" s="641"/>
      <c r="H65" s="24"/>
      <c r="I65" s="24"/>
      <c r="J65" s="6">
        <f>SUM(J29:J60)</f>
        <v>1</v>
      </c>
      <c r="M65" s="5">
        <f>IF(ISERROR(J65),1,0)</f>
        <v>0</v>
      </c>
    </row>
    <row r="66" spans="1:13" ht="12.75" customHeight="1">
      <c r="A66" s="21"/>
      <c r="B66" s="21"/>
      <c r="C66" s="21"/>
      <c r="D66" s="21"/>
      <c r="E66" s="21"/>
      <c r="F66" s="21"/>
      <c r="G66" s="21"/>
      <c r="H66" s="24"/>
      <c r="I66" s="24"/>
    </row>
    <row r="67" spans="1:13" ht="12.75" hidden="1" customHeight="1">
      <c r="A67" s="21"/>
      <c r="B67" s="21"/>
      <c r="C67" s="21"/>
      <c r="D67" s="21"/>
      <c r="E67" s="21"/>
      <c r="F67" s="21"/>
      <c r="G67" s="21"/>
      <c r="H67" s="24"/>
      <c r="I67" s="24"/>
    </row>
    <row r="68" spans="1:13" ht="12.75" hidden="1" customHeight="1">
      <c r="A68" s="21"/>
      <c r="B68" s="21"/>
      <c r="C68" s="21"/>
      <c r="D68" s="21"/>
      <c r="E68" s="21"/>
      <c r="F68" s="21"/>
      <c r="G68" s="21"/>
      <c r="H68" s="24"/>
      <c r="I68" s="24"/>
    </row>
    <row r="69" spans="1:13" ht="12.75" hidden="1" customHeight="1">
      <c r="A69" s="21"/>
      <c r="B69" s="21"/>
      <c r="C69" s="21"/>
      <c r="D69" s="21"/>
      <c r="E69" s="21"/>
      <c r="F69" s="21"/>
      <c r="G69" s="21"/>
      <c r="H69" s="24"/>
      <c r="I69" s="24"/>
    </row>
    <row r="70" spans="1:13" ht="12.75" hidden="1" customHeight="1">
      <c r="A70" s="21"/>
      <c r="B70" s="21"/>
      <c r="C70" s="21"/>
      <c r="D70" s="21"/>
      <c r="E70" s="21"/>
      <c r="F70" s="21"/>
      <c r="G70" s="21"/>
      <c r="H70" s="24"/>
      <c r="I70" s="24"/>
    </row>
    <row r="71" spans="1:13" ht="12.75" hidden="1" customHeight="1">
      <c r="A71" s="21"/>
      <c r="B71" s="21"/>
      <c r="C71" s="21"/>
      <c r="D71" s="21"/>
      <c r="E71" s="21"/>
      <c r="F71" s="21"/>
      <c r="G71" s="21"/>
      <c r="H71" s="24"/>
      <c r="I71" s="24"/>
    </row>
    <row r="72" spans="1:13" ht="12.75" hidden="1" customHeight="1">
      <c r="A72" s="21"/>
      <c r="B72" s="21"/>
      <c r="C72" s="21"/>
      <c r="D72" s="21"/>
      <c r="E72" s="21"/>
      <c r="F72" s="21"/>
      <c r="G72" s="21"/>
      <c r="H72" s="24"/>
      <c r="I72" s="24"/>
    </row>
    <row r="73" spans="1:13" ht="12.75" hidden="1" customHeight="1">
      <c r="A73" s="21"/>
      <c r="B73" s="21"/>
      <c r="C73" s="21"/>
      <c r="D73" s="21"/>
      <c r="E73" s="21"/>
      <c r="F73" s="21"/>
      <c r="G73" s="21"/>
      <c r="H73" s="24"/>
      <c r="I73" s="24"/>
    </row>
    <row r="74" spans="1:13" ht="12.75" hidden="1" customHeight="1">
      <c r="A74" s="21"/>
      <c r="B74" s="21"/>
      <c r="C74" s="21"/>
      <c r="D74" s="21"/>
      <c r="E74" s="21"/>
      <c r="F74" s="21"/>
      <c r="G74" s="21"/>
      <c r="H74" s="24"/>
      <c r="I74" s="24"/>
    </row>
    <row r="75" spans="1:13" ht="12.75" hidden="1" customHeight="1">
      <c r="A75" s="21"/>
      <c r="B75" s="21"/>
      <c r="C75" s="21"/>
      <c r="D75" s="21"/>
      <c r="E75" s="21"/>
      <c r="F75" s="21"/>
      <c r="G75" s="21"/>
      <c r="H75" s="24"/>
      <c r="I75" s="24"/>
    </row>
    <row r="76" spans="1:13" ht="12.75" hidden="1" customHeight="1">
      <c r="A76" s="21"/>
      <c r="B76" s="21"/>
      <c r="C76" s="21"/>
      <c r="D76" s="21"/>
      <c r="E76" s="21"/>
      <c r="F76" s="21"/>
      <c r="G76" s="21"/>
      <c r="H76" s="24"/>
      <c r="I76" s="24"/>
    </row>
    <row r="77" spans="1:13" ht="12.75" hidden="1" customHeight="1">
      <c r="A77" s="21"/>
      <c r="B77" s="21"/>
      <c r="C77" s="21"/>
      <c r="D77" s="21"/>
      <c r="E77" s="21"/>
      <c r="F77" s="21"/>
      <c r="G77" s="21"/>
      <c r="H77" s="24"/>
      <c r="I77" s="24"/>
    </row>
    <row r="78" spans="1:13" ht="12.75" hidden="1" customHeight="1">
      <c r="A78" s="21"/>
      <c r="B78" s="21"/>
      <c r="C78" s="21"/>
      <c r="D78" s="21"/>
      <c r="E78" s="21"/>
      <c r="F78" s="21"/>
      <c r="G78" s="21"/>
      <c r="H78" s="24"/>
      <c r="I78" s="24"/>
    </row>
    <row r="79" spans="1:13" ht="12.75" hidden="1" customHeight="1">
      <c r="A79" s="21"/>
      <c r="B79" s="21"/>
      <c r="C79" s="21"/>
      <c r="D79" s="21"/>
      <c r="E79" s="21"/>
      <c r="F79" s="21"/>
      <c r="G79" s="21"/>
      <c r="H79" s="24"/>
      <c r="I79" s="24"/>
    </row>
  </sheetData>
  <sheetProtection algorithmName="SHA-512" hashValue="OlDgDAdqeVFLcBQZMNT8DtTtk9oRE2wtuxWm/1OCO+izCi6raygzXn1zkT8YgS6slh82H4JGs2IuBeB+r9mejQ==" saltValue="T2LGOBQGiZHpxGctay6mUQ==" spinCount="100000" sheet="1" objects="1" scenarios="1"/>
  <dataConsolidate/>
  <mergeCells count="13">
    <mergeCell ref="Q6:Q7"/>
    <mergeCell ref="R6:R7"/>
    <mergeCell ref="S6:S7"/>
    <mergeCell ref="T6:T7"/>
    <mergeCell ref="A61:I61"/>
    <mergeCell ref="I20:I21"/>
    <mergeCell ref="I22:I23"/>
    <mergeCell ref="B63:G63"/>
    <mergeCell ref="A64:G64"/>
    <mergeCell ref="A65:G65"/>
    <mergeCell ref="B5:E5"/>
    <mergeCell ref="G4:I6"/>
    <mergeCell ref="A13:B13"/>
  </mergeCells>
  <conditionalFormatting sqref="D6">
    <cfRule type="expression" dxfId="375" priority="13">
      <formula>$D$4&lt;&gt;4</formula>
    </cfRule>
    <cfRule type="expression" dxfId="374" priority="14">
      <formula>$D$4=4</formula>
    </cfRule>
  </conditionalFormatting>
  <conditionalFormatting sqref="G4">
    <cfRule type="expression" dxfId="373" priority="12">
      <formula>$D$4=4</formula>
    </cfRule>
  </conditionalFormatting>
  <conditionalFormatting sqref="I22:I23">
    <cfRule type="expression" dxfId="372" priority="7">
      <formula>$F$4=$L$60</formula>
    </cfRule>
  </conditionalFormatting>
  <conditionalFormatting sqref="I20:I21">
    <cfRule type="expression" dxfId="371" priority="8">
      <formula>$F$4=$L$61</formula>
    </cfRule>
  </conditionalFormatting>
  <conditionalFormatting sqref="A13:B13">
    <cfRule type="expression" dxfId="370" priority="5">
      <formula>SUM($D$51:$D$52)&gt;0</formula>
    </cfRule>
  </conditionalFormatting>
  <dataValidations count="8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whole" allowBlank="1" showInputMessage="1" showErrorMessage="1" errorTitle="Musí být celé číslo" sqref="D4" xr:uid="{00000000-0002-0000-05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imální výška je 3040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:E6" xr:uid="{00000000-0002-0000-0500-000005000000}">
      <formula1>"stříbrná,zlatá,oliva"</formula1>
      <formula2>0</formula2>
    </dataValidation>
    <dataValidation type="decimal" allowBlank="1" showInputMessage="1" showErrorMessage="1" errorTitle="Nelze" error="Maximální šířka křídla je 1 100 mm." promptTitle="Maximální šířka křídla je 1100mm" sqref="C7" xr:uid="{00000000-0002-0000-0500-000006000000}">
      <formula1>0</formula1>
      <formula2>1100</formula2>
    </dataValidation>
    <dataValidation type="list" allowBlank="1" showInputMessage="1" showErrorMessage="1" sqref="F4" xr:uid="{00000000-0002-0000-0500-000007000000}">
      <formula1>$L$60:$L$61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64ADBD7-3ACF-435F-A148-6B0AD54229A4}">
            <xm:f>$I29=texty!$A$250</xm:f>
            <x14:dxf>
              <font>
                <color rgb="FFFF0000"/>
              </font>
            </x14:dxf>
          </x14:cfRule>
          <xm:sqref>I29:I56</xm:sqref>
        </x14:conditionalFormatting>
        <x14:conditionalFormatting xmlns:xm="http://schemas.microsoft.com/office/excel/2006/main">
          <x14:cfRule type="expression" priority="1" id="{E771E109-B370-463D-B6B4-B5E6FEC7A645}">
            <xm:f>$I28=texty!$A$250</xm:f>
            <x14:dxf>
              <font>
                <color rgb="FFFF0000"/>
              </font>
            </x14:dxf>
          </x14:cfRule>
          <xm:sqref>A29:H56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7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9.33203125" style="5" customWidth="1"/>
    <col min="2" max="2" width="15.83203125" style="5" customWidth="1"/>
    <col min="3" max="3" width="55.33203125" style="5" customWidth="1"/>
    <col min="4" max="4" width="13.83203125" style="5" customWidth="1"/>
    <col min="5" max="5" width="13.5" style="5" customWidth="1"/>
    <col min="6" max="6" width="13.1640625" style="5" customWidth="1"/>
    <col min="7" max="7" width="15.1640625" style="5" customWidth="1"/>
    <col min="8" max="8" width="4.83203125" style="6" customWidth="1"/>
    <col min="9" max="9" width="24" style="6" customWidth="1"/>
    <col min="10" max="10" width="11.33203125" style="6" hidden="1" customWidth="1"/>
    <col min="11" max="11" width="9.1640625" style="5" hidden="1" customWidth="1"/>
    <col min="12" max="12" width="8.1640625" style="5" hidden="1" customWidth="1"/>
    <col min="13" max="13" width="11.5" style="5" hidden="1" customWidth="1"/>
    <col min="14" max="14" width="7.1640625" style="5" hidden="1" customWidth="1"/>
    <col min="15" max="15" width="8.6640625" style="5" hidden="1" customWidth="1"/>
    <col min="16" max="16" width="7.1640625" style="5" hidden="1" customWidth="1"/>
    <col min="17" max="16384" width="9.1640625" style="5" hidden="1"/>
  </cols>
  <sheetData>
    <row r="1" spans="1:21" ht="13.5" customHeight="1" thickBot="1">
      <c r="A1" s="7"/>
      <c r="B1" s="8"/>
      <c r="C1" s="8"/>
      <c r="D1" s="8"/>
      <c r="E1" s="8"/>
      <c r="F1" s="6"/>
      <c r="G1" s="6"/>
      <c r="K1" s="6">
        <v>2</v>
      </c>
      <c r="L1" s="5">
        <v>-8.75</v>
      </c>
    </row>
    <row r="2" spans="1:21" ht="18.75" customHeight="1">
      <c r="A2" s="538" t="s">
        <v>1533</v>
      </c>
      <c r="B2" s="54" t="str">
        <f>profil!T7</f>
        <v>Zákazník:, , IČO:</v>
      </c>
      <c r="C2" s="8"/>
      <c r="D2" s="8"/>
      <c r="E2" s="8"/>
      <c r="F2" s="6"/>
      <c r="G2" s="6"/>
      <c r="K2" s="6">
        <v>3</v>
      </c>
    </row>
    <row r="3" spans="1:21" ht="29" thickBot="1">
      <c r="A3" s="539" t="str">
        <f>CONCATENATE(texty!A243," ",5,".",77)</f>
        <v>katalóg kovania 2018 str. 5.77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9" t="str">
        <f>+System10!D3</f>
        <v>počet dverí:</v>
      </c>
      <c r="E3" s="9" t="str">
        <f>+System10!E3</f>
        <v>farba</v>
      </c>
      <c r="F3" s="6"/>
      <c r="G3" s="6"/>
      <c r="K3" s="6"/>
    </row>
    <row r="4" spans="1:21" ht="25.5" customHeight="1">
      <c r="A4" s="10" t="str">
        <f>+System10!A4</f>
        <v>VNÚTORNÝ ROZMER SKRINE:</v>
      </c>
      <c r="B4" s="56"/>
      <c r="C4" s="56"/>
      <c r="D4" s="22">
        <v>6</v>
      </c>
      <c r="E4" s="22" t="s">
        <v>416</v>
      </c>
      <c r="F4" s="664"/>
      <c r="G4" s="664"/>
      <c r="H4" s="664"/>
      <c r="I4" s="664"/>
      <c r="J4" s="195"/>
      <c r="K4" s="8"/>
      <c r="N4" s="5">
        <f>IF(C4&lt;1501,1500,IF(C4&lt;2001,2000,IF(C4&lt;3001,3000,IF(C4&lt;4001,4000,6000))))</f>
        <v>1500</v>
      </c>
    </row>
    <row r="5" spans="1:21" ht="18" customHeight="1">
      <c r="A5" s="490"/>
      <c r="B5" s="642" t="str">
        <f>texty!A46</f>
        <v>vypíšte tieto 4 políčka !!! Údaje v mm</v>
      </c>
      <c r="C5" s="642"/>
      <c r="D5" s="642"/>
      <c r="E5" s="642"/>
      <c r="F5" s="664"/>
      <c r="G5" s="664"/>
      <c r="H5" s="664"/>
      <c r="I5" s="664"/>
      <c r="J5" s="195"/>
      <c r="K5" s="3"/>
      <c r="N5" s="5" t="str">
        <f>CONCATENATE(N4,"-",E4)</f>
        <v xml:space="preserve">1500-strieborná </v>
      </c>
    </row>
    <row r="6" spans="1:21" ht="18" customHeight="1">
      <c r="A6" s="10"/>
      <c r="B6" s="11"/>
      <c r="D6" s="299">
        <v>3</v>
      </c>
      <c r="E6" s="8"/>
      <c r="F6" s="664"/>
      <c r="G6" s="664"/>
      <c r="H6" s="664"/>
      <c r="I6" s="664"/>
      <c r="J6" s="195"/>
      <c r="K6" s="6"/>
      <c r="Q6" s="645" t="s">
        <v>646</v>
      </c>
      <c r="R6" s="645" t="s">
        <v>1033</v>
      </c>
      <c r="S6" s="645" t="s">
        <v>1034</v>
      </c>
      <c r="T6" s="645" t="s">
        <v>649</v>
      </c>
    </row>
    <row r="7" spans="1:21" ht="12.75" customHeight="1">
      <c r="A7" s="10" t="str">
        <f>+System10!$A$7</f>
        <v>krídlo dverí:</v>
      </c>
      <c r="B7" s="57">
        <f>+B4-35</f>
        <v>-35</v>
      </c>
      <c r="C7" s="59">
        <f>+((C4-3+30*(D4-1))/D4+IF(AND(D4=4,D6=2),L1,0))</f>
        <v>24.5</v>
      </c>
      <c r="D7" s="8"/>
      <c r="E7" s="8"/>
      <c r="F7" s="50" t="str">
        <f>texty!$A$39</f>
        <v>V prípade použitia skla ako výplne</v>
      </c>
      <c r="G7" s="6"/>
      <c r="K7" s="6"/>
      <c r="N7" s="17">
        <f>IF(K11="jiné",L12,K11)</f>
        <v>1500</v>
      </c>
      <c r="O7" s="21" t="str">
        <f>+E4</f>
        <v xml:space="preserve">strieborná </v>
      </c>
      <c r="Q7" s="645"/>
      <c r="R7" s="645"/>
      <c r="S7" s="645"/>
      <c r="T7" s="645"/>
    </row>
    <row r="8" spans="1:21" ht="12.75" customHeight="1">
      <c r="A8" s="10" t="str">
        <f>texty!$A$48</f>
        <v>rozmer výplne 18mm:</v>
      </c>
      <c r="B8" s="57">
        <f>+B7-60</f>
        <v>-95</v>
      </c>
      <c r="C8" s="59">
        <f>+C7-37</f>
        <v>-12.5</v>
      </c>
      <c r="D8" s="8"/>
      <c r="E8" s="8"/>
      <c r="F8" s="50" t="str">
        <f>texty!$A$40</f>
        <v>je treba použiť bezpečnostné sklo</v>
      </c>
      <c r="G8" s="6"/>
      <c r="K8" s="6" t="s">
        <v>73</v>
      </c>
      <c r="L8" s="5" t="s">
        <v>74</v>
      </c>
      <c r="N8" s="23" t="str">
        <f>CONCATENATE(N7,"-",E4)</f>
        <v xml:space="preserve">1500-strieborná </v>
      </c>
      <c r="O8" s="21"/>
      <c r="P8" s="5">
        <v>1</v>
      </c>
      <c r="Q8" s="164">
        <f>$C$10+5</f>
        <v>-27.5</v>
      </c>
      <c r="R8" s="5">
        <f>FLOOR(1500/Q8,1)</f>
        <v>-55</v>
      </c>
      <c r="S8" s="5">
        <f>FLOOR(2000/Q8,1)</f>
        <v>-73</v>
      </c>
      <c r="T8" s="5">
        <f>FLOOR(3000/Q8,1)</f>
        <v>-110</v>
      </c>
    </row>
    <row r="9" spans="1:21" ht="12.75" customHeight="1">
      <c r="A9" s="10" t="str">
        <f>+System10!A9</f>
        <v>rozmer zrkadla / skla</v>
      </c>
      <c r="B9" s="57">
        <f>+B8</f>
        <v>-95</v>
      </c>
      <c r="C9" s="59">
        <f>+C8+16</f>
        <v>3.5</v>
      </c>
      <c r="D9" s="8"/>
      <c r="E9" s="8"/>
      <c r="F9" s="50" t="str">
        <f>texty!$A$41</f>
        <v>alebo sklo zabezpečiť ochrannou fóliou</v>
      </c>
      <c r="G9" s="6"/>
      <c r="K9" s="37">
        <f>C10*D4</f>
        <v>-195</v>
      </c>
      <c r="L9" s="36">
        <f>(D4+1)*5</f>
        <v>35</v>
      </c>
      <c r="P9" s="5">
        <v>2</v>
      </c>
      <c r="Q9" s="164">
        <f t="shared" ref="Q9:Q13" si="0">Q8+$C$10+5</f>
        <v>-55</v>
      </c>
      <c r="R9" s="5">
        <f>(1500-C10)*R19</f>
        <v>-1532.5</v>
      </c>
      <c r="S9" s="5">
        <f>(2000-C10)*S19</f>
        <v>-2032.5</v>
      </c>
      <c r="T9" s="5">
        <f>(3000-C10)*T19</f>
        <v>-3032.5</v>
      </c>
      <c r="U9" s="5" t="s">
        <v>651</v>
      </c>
    </row>
    <row r="10" spans="1:21" ht="12.75" customHeight="1">
      <c r="A10" s="10" t="str">
        <f>+System10!A10</f>
        <v>dĺžka vodiacej a krycej lišty krídla</v>
      </c>
      <c r="B10" s="57"/>
      <c r="C10" s="60">
        <f>+C7-57</f>
        <v>-32.5</v>
      </c>
      <c r="D10" s="8"/>
      <c r="E10" s="8"/>
      <c r="F10" s="3" t="str">
        <f>texty!$A$44</f>
        <v>Maximálna hmotnosť krídla je 35 kg</v>
      </c>
      <c r="G10" s="6"/>
      <c r="K10" s="5" t="s">
        <v>72</v>
      </c>
      <c r="N10" s="17" t="str">
        <f>IF(K11="jiné",L13,"")</f>
        <v/>
      </c>
      <c r="O10" s="21" t="str">
        <f>+E4</f>
        <v xml:space="preserve">strieborná </v>
      </c>
      <c r="P10" s="5">
        <v>3</v>
      </c>
      <c r="Q10" s="164">
        <f t="shared" si="0"/>
        <v>-82.5</v>
      </c>
    </row>
    <row r="11" spans="1:21" ht="12.75" customHeight="1">
      <c r="A11" s="10" t="str">
        <f>+System10!A11</f>
        <v>Horný/spodný profil</v>
      </c>
      <c r="B11" s="57"/>
      <c r="C11" s="59">
        <f>+C4</f>
        <v>0</v>
      </c>
      <c r="D11" s="8"/>
      <c r="E11" s="8"/>
      <c r="G11" s="40"/>
      <c r="K11" s="36">
        <f>IF((K9+L9)&lt;1500,1500,IF((K9+L9)&lt;2000,2000,IF((K9+L9)&lt;3000,3000,"jiné")))</f>
        <v>1500</v>
      </c>
      <c r="M11" s="5" t="s">
        <v>75</v>
      </c>
      <c r="N11" s="23" t="str">
        <f>CONCATENATE(N10,"-",E4)</f>
        <v xml:space="preserve">-strieborná </v>
      </c>
      <c r="O11" s="21"/>
      <c r="P11" s="5">
        <v>4</v>
      </c>
      <c r="Q11" s="164">
        <f t="shared" si="0"/>
        <v>-110</v>
      </c>
    </row>
    <row r="12" spans="1:21" ht="12.75" customHeight="1">
      <c r="A12" s="10" t="str">
        <f>+System10!A12</f>
        <v>úchytková lišta</v>
      </c>
      <c r="B12" s="57">
        <f>+B7</f>
        <v>-35</v>
      </c>
      <c r="C12" s="503"/>
      <c r="D12" s="8"/>
      <c r="E12" s="8"/>
      <c r="F12" s="6"/>
      <c r="G12" s="6"/>
      <c r="K12" s="6">
        <f>C10*(D4-1)+(D4*5)</f>
        <v>-132.5</v>
      </c>
      <c r="L12" s="5">
        <f>IF(K12&lt;1500,1500,IF(K12&lt;2000,2000,IF(K12&lt;3000,3000,3000)))</f>
        <v>1500</v>
      </c>
      <c r="M12" s="5">
        <f>L12-K12</f>
        <v>1632.5</v>
      </c>
      <c r="P12" s="5">
        <v>5</v>
      </c>
      <c r="Q12" s="164">
        <f t="shared" si="0"/>
        <v>-137.5</v>
      </c>
    </row>
    <row r="13" spans="1:21" ht="26">
      <c r="A13" s="644" t="str">
        <f>IF(SUM(D50:D51)&gt;0,texty!A247,"")</f>
        <v/>
      </c>
      <c r="B13" s="644"/>
      <c r="C13" s="497" t="str">
        <f>texty!A78</f>
        <v>dodatočné odpočty výšky vypočítaných výplní pri použití deliacich profilov výplne:</v>
      </c>
      <c r="D13" s="8"/>
      <c r="E13" s="8"/>
      <c r="F13" s="6"/>
      <c r="G13" s="6"/>
      <c r="K13" s="35">
        <f>C10+10</f>
        <v>-22.5</v>
      </c>
      <c r="L13" s="5">
        <f>IF(M12&gt;=0,IF(K13&lt;1500,1500,IF(K13&lt;2000,2000,IF(K13&lt;3000,3000,"jiné"))),IF((K13+C10)&lt;1500,1500,IF((K13+C10)&lt;2000,2000,IF((K13+C10)&lt;3000,3000,"jiné"))))</f>
        <v>1500</v>
      </c>
      <c r="M13" s="5">
        <f>L13-K13</f>
        <v>1522.5</v>
      </c>
      <c r="P13" s="5">
        <v>6</v>
      </c>
      <c r="Q13" s="164">
        <f t="shared" si="0"/>
        <v>-165</v>
      </c>
    </row>
    <row r="14" spans="1:21" ht="13">
      <c r="A14" s="644"/>
      <c r="B14" s="644"/>
      <c r="C14" s="497"/>
      <c r="D14" s="8"/>
      <c r="E14" s="8"/>
      <c r="F14" s="6"/>
      <c r="G14" s="6"/>
      <c r="K14" s="35"/>
      <c r="Q14" s="164"/>
    </row>
    <row r="15" spans="1:21" ht="20" customHeight="1">
      <c r="A15" s="644" t="str">
        <f>IF(SUM(D52:D53)&gt;0,texty!A249,"")</f>
        <v/>
      </c>
      <c r="B15" s="644"/>
      <c r="C15" s="497"/>
      <c r="D15" s="8"/>
      <c r="E15" s="8"/>
      <c r="F15" s="6"/>
      <c r="G15" s="6"/>
      <c r="K15" s="35"/>
      <c r="Q15" s="164"/>
    </row>
    <row r="16" spans="1:21" ht="20" customHeight="1">
      <c r="A16" s="644"/>
      <c r="B16" s="644"/>
      <c r="C16" s="497"/>
      <c r="D16" s="8"/>
      <c r="E16" s="8"/>
      <c r="F16" s="6"/>
      <c r="G16" s="6"/>
      <c r="K16" s="35"/>
      <c r="Q16" s="164"/>
    </row>
    <row r="17" spans="1:21" ht="13">
      <c r="A17" s="7"/>
      <c r="B17" s="58"/>
      <c r="C17" s="497"/>
      <c r="D17" s="8"/>
      <c r="E17" s="8"/>
      <c r="F17" s="6"/>
      <c r="G17" s="6"/>
      <c r="K17" s="35"/>
      <c r="Q17" s="164"/>
    </row>
    <row r="18" spans="1:21" ht="12.75" customHeight="1">
      <c r="A18" s="7"/>
      <c r="B18" s="8"/>
      <c r="C18" s="12"/>
      <c r="D18" s="8"/>
      <c r="E18" s="8"/>
      <c r="F18" s="6"/>
      <c r="G18" s="6"/>
      <c r="K18" s="6"/>
      <c r="L18" s="5">
        <f>SUM(L12:L13)</f>
        <v>3000</v>
      </c>
      <c r="M18" s="5">
        <f>SUM(M12:M13)</f>
        <v>3155</v>
      </c>
      <c r="P18" s="5">
        <v>7</v>
      </c>
      <c r="Q18" s="164">
        <f>Q13+$C$10+5</f>
        <v>-192.5</v>
      </c>
    </row>
    <row r="19" spans="1:21" ht="12.75" customHeight="1">
      <c r="B19" s="8"/>
      <c r="C19" s="12"/>
      <c r="D19" s="8"/>
      <c r="E19" s="8"/>
      <c r="F19" s="6"/>
      <c r="G19" s="6"/>
      <c r="K19" s="6"/>
      <c r="L19" s="5">
        <f>L18-C4</f>
        <v>3000</v>
      </c>
      <c r="P19" s="5" t="s">
        <v>650</v>
      </c>
      <c r="R19" s="5">
        <f>FLOOR($D$4/R8,1)</f>
        <v>-1</v>
      </c>
      <c r="S19" s="5">
        <f>FLOOR($D$4/S8,1)</f>
        <v>-1</v>
      </c>
      <c r="T19" s="5">
        <f>FLOOR($D$4/T8,1)</f>
        <v>-1</v>
      </c>
    </row>
    <row r="20" spans="1:21" ht="12.75" customHeight="1">
      <c r="A20" s="7"/>
      <c r="B20" s="8"/>
      <c r="C20" s="12"/>
      <c r="D20" s="8"/>
      <c r="E20" s="8"/>
      <c r="F20" s="6"/>
      <c r="G20" s="6"/>
      <c r="K20" s="6"/>
    </row>
    <row r="21" spans="1:21" ht="14.25" customHeight="1">
      <c r="A21" s="147"/>
      <c r="B21" s="498" t="str">
        <f>texty!A242</f>
        <v>dilatácia 4 mm</v>
      </c>
      <c r="C21" s="27"/>
      <c r="D21" s="8"/>
      <c r="E21" s="8"/>
      <c r="F21" s="6"/>
      <c r="G21" s="6"/>
      <c r="K21" s="6"/>
    </row>
    <row r="22" spans="1:21" ht="16.5" customHeight="1">
      <c r="A22" s="217"/>
      <c r="B22" s="8"/>
      <c r="C22" s="8"/>
      <c r="E22" s="8"/>
      <c r="F22" s="6"/>
      <c r="G22" s="6"/>
      <c r="K22" s="6"/>
      <c r="L22" s="6"/>
      <c r="Q22" s="5" t="s">
        <v>694</v>
      </c>
      <c r="R22" s="5" t="s">
        <v>693</v>
      </c>
      <c r="S22" s="5">
        <v>1500</v>
      </c>
      <c r="T22" s="5">
        <v>2000</v>
      </c>
      <c r="U22" s="5">
        <v>3000</v>
      </c>
    </row>
    <row r="23" spans="1:21" ht="16.5" customHeight="1">
      <c r="A23" s="7"/>
      <c r="B23" s="8"/>
      <c r="C23" s="8"/>
      <c r="D23" s="13"/>
      <c r="E23" s="8"/>
      <c r="F23" s="6"/>
      <c r="G23" s="6"/>
      <c r="K23" s="6"/>
      <c r="P23" s="5">
        <v>1</v>
      </c>
      <c r="Q23" s="5">
        <f>R8</f>
        <v>-55</v>
      </c>
      <c r="R23" s="5" t="str">
        <f>IF(Q23&gt;=D4,1,"")</f>
        <v/>
      </c>
      <c r="S23" s="168" t="str">
        <f>IF(R23=1,1,"")</f>
        <v/>
      </c>
      <c r="T23" s="168"/>
      <c r="U23" s="168"/>
    </row>
    <row r="24" spans="1:21" ht="12.75" customHeight="1">
      <c r="A24" s="7"/>
      <c r="B24" s="8"/>
      <c r="C24" s="8"/>
      <c r="D24" s="8"/>
      <c r="E24" s="8"/>
      <c r="F24" s="6"/>
      <c r="G24" s="6"/>
      <c r="K24" s="3"/>
      <c r="P24" s="5">
        <v>2</v>
      </c>
      <c r="Q24" s="5">
        <f>S8</f>
        <v>-73</v>
      </c>
      <c r="R24" s="5" t="str">
        <f>IF(Q24&gt;=D4,IF(R23=1,"",1),"")</f>
        <v/>
      </c>
      <c r="S24" s="168"/>
      <c r="T24" s="168" t="str">
        <f>IF(R24=1,1,"")</f>
        <v/>
      </c>
      <c r="U24" s="168"/>
    </row>
    <row r="25" spans="1:21" ht="12.75" customHeight="1">
      <c r="A25" s="7"/>
      <c r="B25" s="8"/>
      <c r="C25" s="8"/>
      <c r="D25" s="8"/>
      <c r="E25" s="8"/>
      <c r="F25" s="6"/>
      <c r="G25" s="6"/>
      <c r="P25" s="5">
        <v>3</v>
      </c>
      <c r="Q25" s="5">
        <f>T8</f>
        <v>-110</v>
      </c>
      <c r="R25" s="5" t="str">
        <f>IF(Q25&gt;=D4,IF(Q24&gt;=D4,"",1),"")</f>
        <v/>
      </c>
      <c r="U25" s="168" t="str">
        <f>IF(R25=1,1,"")</f>
        <v/>
      </c>
    </row>
    <row r="26" spans="1:21" ht="12.75" customHeight="1">
      <c r="A26" s="7"/>
      <c r="B26" s="8"/>
      <c r="C26" s="8"/>
      <c r="D26" s="8"/>
      <c r="E26" s="8"/>
      <c r="F26" s="6"/>
      <c r="G26" s="6"/>
      <c r="K26" s="5" t="str">
        <f>CONCATENATE(M26,"-",$O$7)</f>
        <v xml:space="preserve">1500-strieborná </v>
      </c>
      <c r="L26" s="6">
        <f>SUM(S23:S35)</f>
        <v>0</v>
      </c>
      <c r="M26" s="5">
        <v>1500</v>
      </c>
      <c r="O26" s="5" t="s">
        <v>652</v>
      </c>
      <c r="P26" s="167" t="s">
        <v>653</v>
      </c>
      <c r="Q26" s="5">
        <f>R8+S8</f>
        <v>-128</v>
      </c>
      <c r="R26" s="5" t="str">
        <f>IF(Q26&gt;=D4,IF(SUM(R23:R25)&gt;0,"",1),"")</f>
        <v/>
      </c>
      <c r="S26" s="168" t="str">
        <f>IF(R26=1,1,"")</f>
        <v/>
      </c>
      <c r="T26" s="168" t="str">
        <f>IF(R26=1,1,"")</f>
        <v/>
      </c>
    </row>
    <row r="27" spans="1:21" ht="12.75" customHeight="1">
      <c r="A27" s="7"/>
      <c r="B27" s="8"/>
      <c r="D27" s="8"/>
      <c r="E27" s="8"/>
      <c r="F27" s="8"/>
      <c r="G27" s="131" t="str">
        <f>+System10!G25</f>
        <v>partnerská zľava:</v>
      </c>
      <c r="K27" s="5" t="str">
        <f>CONCATENATE(M27,"-",$O$7)</f>
        <v xml:space="preserve">2000-strieborná </v>
      </c>
      <c r="L27" s="6">
        <f>SUM(T23:T35)</f>
        <v>0</v>
      </c>
      <c r="M27" s="5">
        <v>2000</v>
      </c>
      <c r="P27" s="5" t="s">
        <v>689</v>
      </c>
      <c r="Q27" s="5">
        <f>S8+S8</f>
        <v>-146</v>
      </c>
      <c r="R27" s="5" t="str">
        <f>IF(Q27&gt;=D4,IF(SUM(R23:R26)&gt;0,"",1),"")</f>
        <v/>
      </c>
      <c r="T27" s="168" t="str">
        <f>IF(R27=1,2,"")</f>
        <v/>
      </c>
    </row>
    <row r="28" spans="1:21" ht="12.75" customHeight="1">
      <c r="A28" s="14" t="str">
        <f>+System10!A26</f>
        <v>Objednávacie kódy, ceny:</v>
      </c>
      <c r="B28" s="8"/>
      <c r="D28" s="8"/>
      <c r="E28" s="8"/>
      <c r="F28" s="8"/>
      <c r="G28" s="143">
        <f>profil!C15</f>
        <v>0</v>
      </c>
      <c r="H28" s="28"/>
      <c r="K28" s="5" t="str">
        <f>CONCATENATE(M28,"-",$O$7)</f>
        <v xml:space="preserve">3000-strieborná </v>
      </c>
      <c r="L28" s="6">
        <f>SUM(U23:U35)</f>
        <v>0</v>
      </c>
      <c r="M28" s="5">
        <v>3000</v>
      </c>
      <c r="N28" s="165"/>
      <c r="P28" s="5" t="s">
        <v>654</v>
      </c>
      <c r="Q28" s="5">
        <f>R8+T8</f>
        <v>-165</v>
      </c>
      <c r="R28" s="5" t="str">
        <f>IF(Q28&gt;=D4,IF(SUM(R23:R27)&gt;0,"",1),"")</f>
        <v/>
      </c>
      <c r="S28" s="168" t="str">
        <f>IF(R28=1,1,"")</f>
        <v/>
      </c>
      <c r="U28" s="168" t="str">
        <f>IF(R28=1,1,"")</f>
        <v/>
      </c>
    </row>
    <row r="29" spans="1:21" ht="12.75" customHeight="1">
      <c r="A29" s="7"/>
      <c r="B29" s="19" t="str">
        <f>+System10!B27</f>
        <v>kód</v>
      </c>
      <c r="C29" s="18" t="str">
        <f>+System10!C27</f>
        <v>názov</v>
      </c>
      <c r="D29" s="19" t="str">
        <f>+System10!D27</f>
        <v>ks</v>
      </c>
      <c r="E29" s="19" t="str">
        <f>+System10!E27</f>
        <v>cena/ks</v>
      </c>
      <c r="F29" s="19" t="str">
        <f>+System10!F27</f>
        <v>cena celkom</v>
      </c>
      <c r="G29" s="20" t="str">
        <f>+System10!G27</f>
        <v>celkom netto:</v>
      </c>
      <c r="I29" s="18" t="str">
        <f>texty!A29</f>
        <v>Poznámka:</v>
      </c>
      <c r="J29" s="18"/>
      <c r="K29" s="6"/>
      <c r="L29" s="5">
        <f>COUNT(L26,L27,L28)</f>
        <v>3</v>
      </c>
      <c r="M29" s="165"/>
      <c r="N29" s="165"/>
      <c r="P29" s="5" t="s">
        <v>655</v>
      </c>
      <c r="Q29" s="5">
        <f>S8+T8</f>
        <v>-183</v>
      </c>
      <c r="R29" s="5" t="str">
        <f>IF(Q29&gt;=D4,IF(SUM(R23:R28)&gt;0,"",1),"")</f>
        <v/>
      </c>
      <c r="T29" s="168" t="str">
        <f>IF(R29=1,1,"")</f>
        <v/>
      </c>
      <c r="U29" s="168" t="str">
        <f>IF(R29=1,1,"")</f>
        <v/>
      </c>
    </row>
    <row r="30" spans="1:21" ht="12.75" customHeight="1">
      <c r="A30" s="7" t="str">
        <f>+System10!A28</f>
        <v>Horný profil:</v>
      </c>
      <c r="B30" s="16">
        <f>+VLOOKUP(N5,data!$C$226:$D$239,2,0)</f>
        <v>349796</v>
      </c>
      <c r="C30" s="25" t="str">
        <f>+VLOOKUP(B30,cennik!$A:$G,2,FALSE)</f>
        <v/>
      </c>
      <c r="D30" s="17">
        <v>1</v>
      </c>
      <c r="E30" s="92">
        <f>+VLOOKUP(B30,cennik!$A:$G,3,FALSE)</f>
        <v>14.659420000000001</v>
      </c>
      <c r="F30" s="92">
        <f t="shared" ref="F30:F34" si="1">+E30*D30</f>
        <v>14.659420000000001</v>
      </c>
      <c r="G30" s="93">
        <f t="shared" ref="G30:G34" si="2">+F30*(100-$G$28)/100</f>
        <v>14.659420000000001</v>
      </c>
      <c r="H30" s="6" t="str">
        <f>cennik!$B$2</f>
        <v>EUR</v>
      </c>
      <c r="I30" s="483" t="str">
        <f>IFERROR(IF((VLOOKUP(B30,cennik!A:L,12,0))="O",texty!$A$250,""),"")</f>
        <v>Na objednávku</v>
      </c>
      <c r="J30" s="196">
        <f>IF(D30&gt;0,IF(VLOOKUP(B30,cennik!A:L,12,FALSE)="O",1,""),"")</f>
        <v>1</v>
      </c>
      <c r="K30" s="6"/>
      <c r="L30" s="165"/>
      <c r="M30" s="165"/>
      <c r="N30" s="165"/>
      <c r="P30" s="5" t="s">
        <v>690</v>
      </c>
      <c r="Q30" s="5">
        <f>T8+T8</f>
        <v>-220</v>
      </c>
      <c r="R30" s="5" t="str">
        <f>IF(Q30&gt;=D4,IF(SUM(R23:R29)&gt;0,"",1),"")</f>
        <v/>
      </c>
      <c r="U30" s="168" t="str">
        <f>IF(R30=1,2,"")</f>
        <v/>
      </c>
    </row>
    <row r="31" spans="1:21" ht="12.75" customHeight="1">
      <c r="A31" s="7" t="str">
        <f>+System10!A29</f>
        <v>spodný profil:</v>
      </c>
      <c r="B31" s="16">
        <f>+VLOOKUP(N5,data!$C$242:$D$255,2,0)</f>
        <v>349810</v>
      </c>
      <c r="C31" s="25" t="str">
        <f>+VLOOKUP(B31,cennik!$A:$G,2,FALSE)</f>
        <v/>
      </c>
      <c r="D31" s="17">
        <v>1</v>
      </c>
      <c r="E31" s="92">
        <f>+VLOOKUP(B31,cennik!$A:$G,3,FALSE)</f>
        <v>7.5749399999999998</v>
      </c>
      <c r="F31" s="92">
        <f t="shared" si="1"/>
        <v>7.5749399999999998</v>
      </c>
      <c r="G31" s="93">
        <f t="shared" si="2"/>
        <v>7.5749400000000007</v>
      </c>
      <c r="H31" s="6" t="str">
        <f>cennik!$B$2</f>
        <v>EUR</v>
      </c>
      <c r="I31" s="483" t="str">
        <f>IFERROR(IF((VLOOKUP(B31,cennik!A:L,12,0))="O",texty!$A$250,""),"")</f>
        <v>Na objednávku</v>
      </c>
      <c r="J31" s="196">
        <f>IF(D31&gt;0,IF(VLOOKUP(B31,cennik!A:L,12,FALSE)="O",1,""),"")</f>
        <v>1</v>
      </c>
      <c r="K31" s="6" t="s">
        <v>656</v>
      </c>
      <c r="L31" s="5" t="str">
        <f>IF(L26=0,IF(L27=0,K28,K27),K26)</f>
        <v xml:space="preserve">3000-strieborná </v>
      </c>
      <c r="M31" s="165">
        <f>IF(L31=K26,L26,IF(L31=K27,L27,IF(L31=K28,L28,"chyba")))</f>
        <v>0</v>
      </c>
      <c r="N31" s="165"/>
      <c r="O31" s="165"/>
      <c r="P31" s="5" t="s">
        <v>691</v>
      </c>
      <c r="Q31" s="5">
        <f>R8+R8+R8</f>
        <v>-165</v>
      </c>
      <c r="R31" s="5" t="str">
        <f>IF(Q31&gt;=D4,IF(SUM(R23:R30)&gt;0,"",1),"")</f>
        <v/>
      </c>
      <c r="S31" s="168" t="str">
        <f>IF(R31=1,3,"")</f>
        <v/>
      </c>
    </row>
    <row r="32" spans="1:21" ht="12.75" customHeight="1">
      <c r="A32" s="7" t="str">
        <f>texty!$A$210</f>
        <v>záslepko spodného vedenia</v>
      </c>
      <c r="B32" s="16">
        <v>216362</v>
      </c>
      <c r="C32" s="25" t="str">
        <f>+VLOOKUP(B32,cennik!$A:$G,2,FALSE)</f>
        <v>SEVROLL záslepka spodného vedenia Simple</v>
      </c>
      <c r="D32" s="17">
        <f>CEILING(C4/1000,1)</f>
        <v>0</v>
      </c>
      <c r="E32" s="92">
        <f>+VLOOKUP(B32,cennik!$A:$G,3,FALSE)</f>
        <v>1.1716599999999999</v>
      </c>
      <c r="F32" s="92">
        <f t="shared" si="1"/>
        <v>0</v>
      </c>
      <c r="G32" s="93">
        <f t="shared" si="2"/>
        <v>0</v>
      </c>
      <c r="H32" s="6" t="str">
        <f>cennik!$B$2</f>
        <v>EUR</v>
      </c>
      <c r="I32" s="483" t="str">
        <f>IFERROR(IF((VLOOKUP(B32,cennik!A:L,12,0))="O",texty!$A$250,""),"")</f>
        <v/>
      </c>
      <c r="J32" s="196" t="str">
        <f>IF(D32&gt;0,IF(VLOOKUP(B32,cennik!A:L,12,FALSE)="O",1,""),"")</f>
        <v/>
      </c>
      <c r="K32" s="6"/>
      <c r="M32" s="165"/>
      <c r="N32" s="165"/>
      <c r="O32" s="165"/>
      <c r="S32" s="168"/>
    </row>
    <row r="33" spans="1:21" ht="12.75" customHeight="1">
      <c r="A33" s="7" t="str">
        <f>+System10!A31</f>
        <v>horné vozíky (sady)</v>
      </c>
      <c r="B33" s="16">
        <v>349732</v>
      </c>
      <c r="C33" s="25" t="str">
        <f>+VLOOKUP(B33,cennik!$A:$G,2,FALSE)</f>
        <v>SEVROLL horný vozík Blue(18mm)rámový (L+P)</v>
      </c>
      <c r="D33" s="17">
        <f>+D4</f>
        <v>6</v>
      </c>
      <c r="E33" s="92">
        <f>+VLOOKUP(B33,cennik!$A:$G,3,FALSE)</f>
        <v>3.8147199999999999</v>
      </c>
      <c r="F33" s="92">
        <f t="shared" si="1"/>
        <v>22.88832</v>
      </c>
      <c r="G33" s="93">
        <f t="shared" si="2"/>
        <v>22.88832</v>
      </c>
      <c r="H33" s="6" t="str">
        <f>cennik!$B$2</f>
        <v>EUR</v>
      </c>
      <c r="I33" s="483" t="str">
        <f>IFERROR(IF((VLOOKUP(B33,cennik!A:L,12,0))="O",texty!$A$250,""),"")</f>
        <v/>
      </c>
      <c r="J33" s="196" t="e">
        <f>IF(D33&gt;0,IF(VLOOKUP(#REF!,cennik!A:L,12,FALSE)="O",1,""),"")</f>
        <v>#REF!</v>
      </c>
      <c r="K33" s="6" t="s">
        <v>657</v>
      </c>
      <c r="L33" s="5" t="str">
        <f>IF(L31=K28,"jiné",IF(L31=K26,IF(L27&lt;&gt;0,K27,IF(L28&lt;&gt;0,K28,"jiné")),IF(L28&lt;&gt;0,K28,"jiné")))</f>
        <v>jiné</v>
      </c>
      <c r="M33" s="165">
        <f>IF(L33=K27,L27,IF(L33=K28,L28,IF(L33=K29,L29,0)))</f>
        <v>0</v>
      </c>
      <c r="N33" s="165"/>
      <c r="O33" s="165"/>
      <c r="P33" s="5" t="s">
        <v>658</v>
      </c>
      <c r="Q33" s="5">
        <f>R8+2*S8</f>
        <v>-201</v>
      </c>
      <c r="R33" s="5" t="str">
        <f>IF(Q33&gt;=D4,IF(SUM(R23:R31)&gt;0,"",1),"")</f>
        <v/>
      </c>
      <c r="S33" s="168" t="str">
        <f>IF(R33=1,1,"")</f>
        <v/>
      </c>
      <c r="T33" s="168" t="str">
        <f>IF(R33=1,2,"")</f>
        <v/>
      </c>
    </row>
    <row r="34" spans="1:21" ht="12.75" customHeight="1">
      <c r="A34" s="7" t="str">
        <f>+System10!A32</f>
        <v>spodné vozíky (sada)</v>
      </c>
      <c r="B34" s="16">
        <v>229446</v>
      </c>
      <c r="C34" s="25" t="str">
        <f>+VLOOKUP(B34,cennik!$A:$G,2,FALSE)</f>
        <v>SEVROLL spodný vozík Simple/Blue V (rámový s</v>
      </c>
      <c r="D34" s="17">
        <f>+D4</f>
        <v>6</v>
      </c>
      <c r="E34" s="92">
        <f>+VLOOKUP(B34,cennik!$A:$G,3,FALSE)</f>
        <v>2.86104</v>
      </c>
      <c r="F34" s="92">
        <f t="shared" si="1"/>
        <v>17.166240000000002</v>
      </c>
      <c r="G34" s="93">
        <f t="shared" si="2"/>
        <v>17.166240000000002</v>
      </c>
      <c r="H34" s="6" t="str">
        <f>cennik!$B$2</f>
        <v>EUR</v>
      </c>
      <c r="I34" s="483" t="str">
        <f>IFERROR(IF((VLOOKUP(B34,cennik!A:L,12,0))="O",texty!$A$250,""),"")</f>
        <v/>
      </c>
      <c r="J34" s="196" t="str">
        <f>IF(D34&gt;0,IF(VLOOKUP(B33,cennik!A:L,12,FALSE)="O",1,""),"")</f>
        <v/>
      </c>
      <c r="K34" s="6"/>
      <c r="L34" s="165"/>
      <c r="M34" s="165"/>
      <c r="N34" s="165"/>
      <c r="O34" s="165"/>
      <c r="P34" s="5" t="s">
        <v>692</v>
      </c>
      <c r="Q34" s="5">
        <f>S8+S8+S8</f>
        <v>-219</v>
      </c>
      <c r="R34" s="5" t="str">
        <f>IF(Q34&gt;=D4,IF(SUM(R23:R33)&gt;0,"",1),"")</f>
        <v/>
      </c>
      <c r="T34" s="168" t="str">
        <f>IF(R34=1,3,"")</f>
        <v/>
      </c>
    </row>
    <row r="35" spans="1:21" ht="12.75" customHeight="1">
      <c r="A35" s="7" t="str">
        <f>+System10!A33</f>
        <v>dorazový kartáč</v>
      </c>
      <c r="B35" s="16">
        <v>98067</v>
      </c>
      <c r="C35" s="25" t="str">
        <f>+VLOOKUP(B35,cennik!$A:$G,2,FALSE)</f>
        <v>SEVROLL dorazový kartáč zásuvný 14,5x4mm</v>
      </c>
      <c r="D35" s="17">
        <f>CEILING((B4*D4*2/1000),1)</f>
        <v>0</v>
      </c>
      <c r="E35" s="92">
        <f>+VLOOKUP(B35,cennik!$A:$G,3,FALSE)</f>
        <v>0.17649000000000001</v>
      </c>
      <c r="F35" s="92">
        <f t="shared" ref="F35:F41" si="3">+E35*D35</f>
        <v>0</v>
      </c>
      <c r="G35" s="93">
        <f t="shared" ref="G35:G41" si="4">+F35*(100-$G$28)/100</f>
        <v>0</v>
      </c>
      <c r="H35" s="6" t="str">
        <f>cennik!$B$2</f>
        <v>EUR</v>
      </c>
      <c r="I35" s="483" t="str">
        <f>IFERROR(IF((VLOOKUP(B35,cennik!A:L,12,0))="O",texty!$A$250,""),"")</f>
        <v/>
      </c>
      <c r="J35" s="196" t="str">
        <f>IF(D35&gt;0,IF(VLOOKUP(B35,cennik!A:L,12,FALSE)="O",1,""),"")</f>
        <v/>
      </c>
      <c r="K35" s="6" t="str">
        <f>CONCATENATE(3000,"-",E4)</f>
        <v xml:space="preserve">3000-strieborná </v>
      </c>
      <c r="L35" s="165"/>
      <c r="M35" s="165"/>
      <c r="N35" s="165"/>
      <c r="O35" s="165"/>
      <c r="P35" s="5" t="s">
        <v>659</v>
      </c>
      <c r="Q35" s="5">
        <f>R8+2*T8</f>
        <v>-275</v>
      </c>
      <c r="R35" s="5" t="str">
        <f>IF(Q35&gt;=D4,IF(SUM(R23:R34)&gt;0,"",1),"")</f>
        <v/>
      </c>
      <c r="S35" s="168" t="str">
        <f>IF(R35=1,1,"")</f>
        <v/>
      </c>
      <c r="U35" s="168" t="str">
        <f>IF(R35=1,2,"")</f>
        <v/>
      </c>
    </row>
    <row r="36" spans="1:21" ht="12.75" customHeight="1">
      <c r="A36" s="7" t="str">
        <f>+System10!A34</f>
        <v>úchytková lišta</v>
      </c>
      <c r="B36" s="16">
        <f>+VLOOKUP(O7,data!$C$452:$D$453,2,0)</f>
        <v>341559</v>
      </c>
      <c r="C36" s="25" t="str">
        <f>+VLOOKUP(B36,cennik!$A:$G,2,FALSE)</f>
        <v>SEVROLL Rekord úchytková lišta 18mm 2,70m strieborná</v>
      </c>
      <c r="D36" s="17">
        <f>IF(B12&lt;=1347,D4*2/2,D4*2)</f>
        <v>6</v>
      </c>
      <c r="E36" s="92">
        <f>+VLOOKUP(B36,cennik!$A:$G,3,FALSE)</f>
        <v>14.931900000000001</v>
      </c>
      <c r="F36" s="92">
        <f t="shared" si="3"/>
        <v>89.591400000000007</v>
      </c>
      <c r="G36" s="93">
        <f t="shared" si="4"/>
        <v>89.591400000000007</v>
      </c>
      <c r="H36" s="6" t="str">
        <f>cennik!$B$2</f>
        <v>EUR</v>
      </c>
      <c r="I36" s="483" t="str">
        <f>IFERROR(IF((VLOOKUP(B36,cennik!A:L,12,0))="O",texty!$A$250,""),"")</f>
        <v/>
      </c>
      <c r="J36" s="196" t="str">
        <f>IF(D36&gt;0,IF(VLOOKUP(B36,cennik!A:L,12,FALSE)="O",1,""),"")</f>
        <v/>
      </c>
      <c r="K36" s="3" t="s">
        <v>988</v>
      </c>
    </row>
    <row r="37" spans="1:21" ht="12.75" customHeight="1">
      <c r="A37" s="7" t="str">
        <f>+System10!A35</f>
        <v>spojovacia skrutka</v>
      </c>
      <c r="B37" s="16">
        <v>346726</v>
      </c>
      <c r="C37" s="25" t="str">
        <f>+VLOOKUP(B37,cennik!$A:$G,2,FALSE)</f>
        <v>SEVROLL šroubovrut Blue 6,3*45</v>
      </c>
      <c r="D37" s="17">
        <f>+D4*4</f>
        <v>24</v>
      </c>
      <c r="E37" s="92">
        <f>+VLOOKUP(B37,cennik!$A:$G,3,FALSE)</f>
        <v>0.16349</v>
      </c>
      <c r="F37" s="92">
        <f t="shared" si="3"/>
        <v>3.9237599999999997</v>
      </c>
      <c r="G37" s="93">
        <f t="shared" si="4"/>
        <v>3.9237599999999997</v>
      </c>
      <c r="H37" s="6" t="str">
        <f>cennik!$B$2</f>
        <v>EUR</v>
      </c>
      <c r="I37" s="483" t="str">
        <f>IFERROR(IF((VLOOKUP(B37,cennik!A:L,12,0))="O",texty!$A$250,""),"")</f>
        <v/>
      </c>
      <c r="J37" s="196" t="str">
        <f>IF(D37&gt;0,IF(VLOOKUP(B37,cennik!A:L,12,FALSE)="O",1,""),"")</f>
        <v/>
      </c>
      <c r="K37" s="162">
        <f>(C10*D4)+(D4-1)*5</f>
        <v>-170</v>
      </c>
    </row>
    <row r="38" spans="1:21" ht="12.75" customHeight="1">
      <c r="A38" s="7" t="str">
        <f>+System10!A36</f>
        <v>horný profil rámu (vodiaca lišta)</v>
      </c>
      <c r="B38" s="16">
        <f>+VLOOKUP(L31,data!C303:D311,2,0)</f>
        <v>222571</v>
      </c>
      <c r="C38" s="25" t="str">
        <f>+VLOOKUP(B38,cennik!$A:$G,2,FALSE)</f>
        <v>SEVROLL hor.vod.lišta Simple 3m(18mm) str.</v>
      </c>
      <c r="D38" s="65">
        <f>M31</f>
        <v>0</v>
      </c>
      <c r="E38" s="92">
        <f>+VLOOKUP(B38,cennik!$A:$G,3,FALSE)</f>
        <v>11.880129999999999</v>
      </c>
      <c r="F38" s="92">
        <f t="shared" si="3"/>
        <v>0</v>
      </c>
      <c r="G38" s="93">
        <f t="shared" si="4"/>
        <v>0</v>
      </c>
      <c r="H38" s="6" t="str">
        <f>cennik!$B$2</f>
        <v>EUR</v>
      </c>
      <c r="I38" s="483" t="str">
        <f>IFERROR(IF((VLOOKUP(B38,cennik!A:L,12,0))="O",texty!$A$250,""),"")</f>
        <v/>
      </c>
      <c r="J38" s="196" t="str">
        <f>IF(D38&gt;0,IF(VLOOKUP(B38,cennik!A:L,12,FALSE)="O",1,""),"")</f>
        <v/>
      </c>
      <c r="K38" s="3"/>
    </row>
    <row r="39" spans="1:21" ht="12.75" customHeight="1">
      <c r="A39" s="7" t="str">
        <f>+System10!$A$36</f>
        <v>horný profil rámu (vodiaca lišta)</v>
      </c>
      <c r="B39" s="6" t="str">
        <f>IF(L33&lt;&gt;"jiné",+VLOOKUP(L33,data!C303:D311,2,0),"")</f>
        <v/>
      </c>
      <c r="C39" s="38" t="str">
        <f>IF(L33&lt;&gt;"jiné",+VLOOKUP(B39,cennik!$A$3:$G$701,2,FALSE),texty!$A$2)</f>
        <v>druhá lišta nieje potrebná</v>
      </c>
      <c r="D39" s="65">
        <f>M33</f>
        <v>0</v>
      </c>
      <c r="E39" s="94">
        <f>IF(L33&lt;&gt;"jiné",+VLOOKUP(B39,cennik!$A:$G,3,FALSE),0)</f>
        <v>0</v>
      </c>
      <c r="F39" s="92">
        <f t="shared" si="3"/>
        <v>0</v>
      </c>
      <c r="G39" s="93">
        <f t="shared" si="4"/>
        <v>0</v>
      </c>
      <c r="H39" s="6" t="str">
        <f>cennik!$B$2</f>
        <v>EUR</v>
      </c>
      <c r="I39" s="483" t="str">
        <f>IFERROR(IF((VLOOKUP(B39,cennik!A:L,12,0))="O",texty!$A$250,""),"")</f>
        <v/>
      </c>
      <c r="J39" s="196" t="str">
        <f>IF(D39&gt;0,IF(VLOOKUP(B39,cennik!A:L,12,FALSE)="O",1,""),"")</f>
        <v/>
      </c>
      <c r="K39" s="3">
        <f>+System10!L22</f>
        <v>0</v>
      </c>
    </row>
    <row r="40" spans="1:21" ht="12.75" customHeight="1">
      <c r="A40" s="7" t="str">
        <f>+System10!A38</f>
        <v>horizontálny spodný profil rámu</v>
      </c>
      <c r="B40" s="6">
        <f>+VLOOKUP(L31,data!$C$380:$D$388,2,0)</f>
        <v>222572</v>
      </c>
      <c r="C40" s="25" t="str">
        <f>+VLOOKUP(B40,cennik!$A:$G,2,FALSE)</f>
        <v>SEVROLL spod.krycia lišta Simple 3m(18mm)str</v>
      </c>
      <c r="D40" s="65">
        <f>M31</f>
        <v>0</v>
      </c>
      <c r="E40" s="92">
        <f>+VLOOKUP(B40,cennik!$A:$G,3,FALSE)</f>
        <v>23.26979</v>
      </c>
      <c r="F40" s="92">
        <f t="shared" si="3"/>
        <v>0</v>
      </c>
      <c r="G40" s="93">
        <f t="shared" si="4"/>
        <v>0</v>
      </c>
      <c r="H40" s="6" t="str">
        <f>cennik!$B$2</f>
        <v>EUR</v>
      </c>
      <c r="I40" s="483" t="str">
        <f>IFERROR(IF((VLOOKUP(B40,cennik!A:L,12,0))="O",texty!$A$250,""),"")</f>
        <v/>
      </c>
      <c r="J40" s="196" t="str">
        <f>IF(D40&gt;0,IF(VLOOKUP(B40,cennik!A:L,12,FALSE)="O",1,""),"")</f>
        <v/>
      </c>
      <c r="K40" s="3"/>
    </row>
    <row r="41" spans="1:21" ht="12.75" customHeight="1">
      <c r="A41" s="7" t="str">
        <f>+System10!A39</f>
        <v>horizontálny spodný profil rámu</v>
      </c>
      <c r="B41" s="6" t="str">
        <f>IF(L33&lt;&gt;"jiné",VLOOKUP(L33,data!$C$380:$D$388,2,0),"")</f>
        <v/>
      </c>
      <c r="C41" s="25" t="str">
        <f>IF(L33&lt;&gt;"jiné",+VLOOKUP(B41,cennik!$A$3:$G$701,2,FALSE),texty!A2)</f>
        <v>druhá lišta nieje potrebná</v>
      </c>
      <c r="D41" s="65">
        <f>M33</f>
        <v>0</v>
      </c>
      <c r="E41" s="94">
        <f>IF(L33&lt;&gt;"jiné",+VLOOKUP(B39,cennik!$A:$G,3,FALSE),0)</f>
        <v>0</v>
      </c>
      <c r="F41" s="92">
        <f t="shared" si="3"/>
        <v>0</v>
      </c>
      <c r="G41" s="93">
        <f t="shared" si="4"/>
        <v>0</v>
      </c>
      <c r="H41" s="6" t="str">
        <f>cennik!$B$2</f>
        <v>EUR</v>
      </c>
      <c r="I41" s="483" t="str">
        <f>IFERROR(IF((VLOOKUP(B41,cennik!A:L,12,0))="O",texty!$A$250,""),"")</f>
        <v/>
      </c>
      <c r="J41" s="196" t="str">
        <f>IF(D41&gt;0,IF(VLOOKUP(B41,cennik!A:L,12,FALSE)="O",1,""),"")</f>
        <v/>
      </c>
      <c r="K41" s="3" t="str">
        <f>+System10!L24</f>
        <v xml:space="preserve">1700-strieborná </v>
      </c>
    </row>
    <row r="42" spans="1:21" ht="12.75" customHeight="1">
      <c r="E42" s="95"/>
      <c r="F42" s="95"/>
      <c r="G42" s="95"/>
      <c r="I42" s="483" t="str">
        <f>IFERROR(IF((VLOOKUP(B42,cennik!A:L,12,0))="O",texty!$A$250,""),"")</f>
        <v/>
      </c>
      <c r="J42" s="196"/>
      <c r="K42" s="3"/>
    </row>
    <row r="43" spans="1:21" ht="12.75" customHeight="1">
      <c r="A43" s="14" t="str">
        <f>texty!$A$66</f>
        <v>Voliteľné príslušenstvo:</v>
      </c>
      <c r="B43" s="15"/>
      <c r="D43" s="26" t="str">
        <f>System10!$D$41</f>
        <v>zadajte počet:</v>
      </c>
      <c r="E43" s="96"/>
      <c r="F43" s="96"/>
      <c r="G43" s="95"/>
      <c r="I43" s="483" t="str">
        <f>IFERROR(IF((VLOOKUP(B43,cennik!A:L,12,0))="O",texty!$A$250,""),"")</f>
        <v/>
      </c>
      <c r="J43" s="196"/>
      <c r="K43" s="3"/>
    </row>
    <row r="44" spans="1:21" ht="12.75" customHeight="1">
      <c r="A44" s="7" t="str">
        <f>texty!$A$88</f>
        <v>pozicionér do horného vedenia</v>
      </c>
      <c r="B44" s="15">
        <v>298035</v>
      </c>
      <c r="C44" s="25" t="str">
        <f>+VLOOKUP(B44,cennik!$A:$G,2,FALSE)</f>
        <v>SEVROLL Fix pozicionér pre horný vozík tran.</v>
      </c>
      <c r="D44" s="29"/>
      <c r="E44" s="92">
        <f>+VLOOKUP(B44,cennik!$A:$G,3,FALSE)</f>
        <v>1.0605800000000001</v>
      </c>
      <c r="F44" s="97">
        <f t="shared" ref="F44" si="5">+CEILING(D44,1)*E44</f>
        <v>0</v>
      </c>
      <c r="G44" s="93">
        <f t="shared" ref="G44" si="6">+F44*(100-$G$28)/100</f>
        <v>0</v>
      </c>
      <c r="H44" s="6" t="str">
        <f>cennik!$B$2</f>
        <v>EUR</v>
      </c>
      <c r="I44" s="483" t="str">
        <f>IFERROR(IF((VLOOKUP(B44,cennik!A:L,12,0))="O",texty!$A$250,""),"")</f>
        <v/>
      </c>
      <c r="J44" s="196" t="str">
        <f>IF(D44&gt;0,IF(VLOOKUP(B44,cennik!A:L,12,FALSE)="O",1,""),"")</f>
        <v/>
      </c>
      <c r="K44" s="3"/>
    </row>
    <row r="45" spans="1:21" ht="12.75" customHeight="1">
      <c r="A45" s="7" t="str">
        <f>texty!A87</f>
        <v>pozicionér</v>
      </c>
      <c r="B45" s="211">
        <v>229681</v>
      </c>
      <c r="C45" s="25" t="str">
        <f>+VLOOKUP(B45,cennik!$A:$G,2,FALSE)</f>
        <v>SEVROLL Simple pozicionér pre spodný vozík</v>
      </c>
      <c r="D45" s="29"/>
      <c r="E45" s="92">
        <f>+VLOOKUP(B45,cennik!$A:$G,3,FALSE)</f>
        <v>0.40872000000000003</v>
      </c>
      <c r="F45" s="92">
        <f>+E45*D45</f>
        <v>0</v>
      </c>
      <c r="G45" s="93">
        <f>+F45*(100-$G$28)/100</f>
        <v>0</v>
      </c>
      <c r="H45" s="6" t="str">
        <f>cennik!$B$2</f>
        <v>EUR</v>
      </c>
      <c r="I45" s="483" t="str">
        <f>IFERROR(IF((VLOOKUP(B45,cennik!A:L,12,0))="O",texty!$A$250,""),"")</f>
        <v/>
      </c>
      <c r="J45" s="196" t="str">
        <f>IF(D45&gt;0,IF(VLOOKUP(B45,cennik!A:L,12,FALSE)="O",1,""),"")</f>
        <v/>
      </c>
      <c r="K45" s="3"/>
    </row>
    <row r="46" spans="1:21" ht="12.75" customHeight="1">
      <c r="A46" s="7" t="str">
        <f>texty!A179</f>
        <v>skrutka k spodnémi vedeniu</v>
      </c>
      <c r="B46" s="15">
        <v>98019</v>
      </c>
      <c r="C46" s="25" t="str">
        <f>+VLOOKUP(B46,cennik!$A:$G,2,FALSE)</f>
        <v>SEVROLL-skrutka 2,5*18MM</v>
      </c>
      <c r="D46" s="29"/>
      <c r="E46" s="92">
        <f>+VLOOKUP(B46,cennik!$A:$G,3,FALSE)</f>
        <v>2.8680000000000001E-2</v>
      </c>
      <c r="F46" s="97">
        <f>+CEILING(D46,1)*E46</f>
        <v>0</v>
      </c>
      <c r="G46" s="93">
        <f>+F46*(100-$G$24)/100</f>
        <v>0</v>
      </c>
      <c r="H46" s="6" t="str">
        <f>cennik!$B$2</f>
        <v>EUR</v>
      </c>
      <c r="I46" s="483" t="str">
        <f>IFERROR(IF((VLOOKUP(B46,cennik!A:L,12,0))="O",texty!$A$250,""),"")</f>
        <v/>
      </c>
      <c r="J46" s="196" t="str">
        <f>IF(D46&gt;0,IF(VLOOKUP(B46,cennik!A:L,12,FALSE)="O",1,""),"")</f>
        <v/>
      </c>
      <c r="K46" s="3"/>
    </row>
    <row r="47" spans="1:21" ht="12.75" customHeight="1">
      <c r="A47" s="7" t="str">
        <f>texty!$A$204</f>
        <v>spojovací H25 profil Simple (18mm)</v>
      </c>
      <c r="B47" s="16">
        <f>+VLOOKUP(O7,data!$C$408:$D$410,2,0)</f>
        <v>336796</v>
      </c>
      <c r="C47" s="25" t="str">
        <f>+VLOOKUP(B47,cennik!$A:$G,2,FALSE)</f>
        <v>SEVROLL spoj.lišta Simple H21 3m(18mm) str.</v>
      </c>
      <c r="D47" s="30"/>
      <c r="E47" s="92">
        <f>+VLOOKUP(B47,cennik!$A:$G,3,FALSE)</f>
        <v>13.24253</v>
      </c>
      <c r="F47" s="92">
        <f>+E47*D47</f>
        <v>0</v>
      </c>
      <c r="G47" s="93">
        <f>+F47*(100-$G$28)/100</f>
        <v>0</v>
      </c>
      <c r="H47" s="6" t="str">
        <f>cennik!$B$2</f>
        <v>EUR</v>
      </c>
      <c r="I47" s="483" t="str">
        <f>IFERROR(IF((VLOOKUP(B47,cennik!A:L,12,0))="O",texty!$A$250,""),"")</f>
        <v/>
      </c>
      <c r="J47" s="196" t="str">
        <f>IF(D47&gt;0,IF(VLOOKUP(B47,cennik!A:L,12,FALSE)="O",1,""),"")</f>
        <v/>
      </c>
      <c r="K47" s="6"/>
    </row>
    <row r="48" spans="1:21" ht="12.75" customHeight="1">
      <c r="A48" s="7" t="str">
        <f>texty!$A$205</f>
        <v>spojovací H31 profil Simple (18mm)</v>
      </c>
      <c r="B48" s="16">
        <f>+VLOOKUP(O7,data!$C$411:$D$413,2,0)</f>
        <v>328825</v>
      </c>
      <c r="C48" s="25" t="str">
        <f>+VLOOKUP(B48,cennik!$A:$G,2,FALSE)</f>
        <v>SEVROLL spojovacia lišta Simple / Blue H28 3m (18mm) strieborná</v>
      </c>
      <c r="D48" s="30"/>
      <c r="E48" s="92">
        <f>+VLOOKUP(B48,cennik!$A:$G,3,FALSE)</f>
        <v>22.997309999999999</v>
      </c>
      <c r="F48" s="92">
        <f>+E48*D48</f>
        <v>0</v>
      </c>
      <c r="G48" s="93">
        <f>+F48*(100-$G$28)/100</f>
        <v>0</v>
      </c>
      <c r="H48" s="6" t="str">
        <f>cennik!$B$2</f>
        <v>EUR</v>
      </c>
      <c r="I48" s="483" t="str">
        <f>IFERROR(IF((VLOOKUP(B48,cennik!A:L,12,0))="O",texty!$A$250,""),"")</f>
        <v/>
      </c>
      <c r="J48" s="196" t="str">
        <f>IF(D48&gt;0,IF(VLOOKUP(B48,cennik!A:L,12,FALSE)="O",1,""),"")</f>
        <v/>
      </c>
      <c r="K48" s="6"/>
    </row>
    <row r="49" spans="1:11" ht="12.75" customHeight="1">
      <c r="A49" s="7" t="str">
        <f>texty!$A$92</f>
        <v>spojovacia skrutka</v>
      </c>
      <c r="B49" s="16">
        <v>346726</v>
      </c>
      <c r="C49" s="25" t="str">
        <f>+VLOOKUP(B49,cennik!$A:$G,2,FALSE)</f>
        <v>SEVROLL šroubovrut Blue 6,3*45</v>
      </c>
      <c r="D49" s="30"/>
      <c r="E49" s="92">
        <f>+VLOOKUP(B49,cennik!$A:$G,3,FALSE)</f>
        <v>0.16349</v>
      </c>
      <c r="F49" s="92">
        <f>+E49*D49</f>
        <v>0</v>
      </c>
      <c r="G49" s="93">
        <f>+F49*(100-$G$28)/100</f>
        <v>0</v>
      </c>
      <c r="H49" s="6" t="str">
        <f>cennik!$B$2</f>
        <v>EUR</v>
      </c>
      <c r="I49" s="483" t="str">
        <f>IFERROR(IF((VLOOKUP(B49,cennik!A:L,12,0))="O",texty!$A$250,""),"")</f>
        <v/>
      </c>
      <c r="J49" s="196" t="str">
        <f>IF(D49&gt;0,IF(VLOOKUP(B49,cennik!A:L,12,FALSE)="O",1,""),"")</f>
        <v/>
      </c>
      <c r="K49" s="6"/>
    </row>
    <row r="50" spans="1:11" ht="12.75" customHeight="1">
      <c r="A50" s="436" t="str">
        <f>texty!$A$228</f>
        <v> Tlmič dorazu MINI do 25 kg (pár)</v>
      </c>
      <c r="B50" s="16">
        <v>318662</v>
      </c>
      <c r="C50" s="25" t="str">
        <f>+VLOOKUP(B50,cennik!$A:$G,2,FALSE)</f>
        <v>SEVROLL tlmič dorazu Mini SV25 - 2ks</v>
      </c>
      <c r="D50" s="29"/>
      <c r="E50" s="92">
        <f>+VLOOKUP(B50,cennik!$A:$G,3,FALSE)</f>
        <v>22.368510000000001</v>
      </c>
      <c r="F50" s="97">
        <f>+CEILING(D50,1)*E50</f>
        <v>0</v>
      </c>
      <c r="G50" s="93">
        <f t="shared" ref="G50:G53" si="7">+F50*(100-$G$28)/100</f>
        <v>0</v>
      </c>
      <c r="H50" s="6" t="str">
        <f>cennik!$B$2</f>
        <v>EUR</v>
      </c>
      <c r="I50" s="483" t="str">
        <f>IFERROR(IF((VLOOKUP(B50,cennik!A:L,12,0))="O",texty!$A$250,""),"")</f>
        <v/>
      </c>
      <c r="J50" s="196" t="str">
        <f>IF(D50&gt;0,IF(VLOOKUP(B50,cennik!A:L,12,FALSE)="O",1,""),"")</f>
        <v/>
      </c>
      <c r="K50" s="6"/>
    </row>
    <row r="51" spans="1:11" ht="12.75" customHeight="1">
      <c r="A51" s="436" t="str">
        <f>texty!$A$229</f>
        <v> Tlmič dorazu MINI do 40 kg (pár)</v>
      </c>
      <c r="B51" s="24">
        <v>283956</v>
      </c>
      <c r="C51" s="25" t="str">
        <f>+VLOOKUP(B51,cennik!$A:$G,2,FALSE)</f>
        <v>SEVROLL tlmič dorazu Mini SV40 - 2ks</v>
      </c>
      <c r="D51" s="29"/>
      <c r="E51" s="92">
        <f>+VLOOKUP(B51,cennik!$A:$G,3,FALSE)</f>
        <v>22.368510000000001</v>
      </c>
      <c r="F51" s="97">
        <f>+CEILING(D51,1)*E51</f>
        <v>0</v>
      </c>
      <c r="G51" s="93">
        <f t="shared" si="7"/>
        <v>0</v>
      </c>
      <c r="H51" s="6" t="str">
        <f>cennik!$B$2</f>
        <v>EUR</v>
      </c>
      <c r="I51" s="483" t="str">
        <f>IFERROR(IF((VLOOKUP(B51,cennik!A:L,12,0))="O",texty!$A$250,""),"")</f>
        <v/>
      </c>
      <c r="J51" s="196" t="str">
        <f>IF(D51&gt;0,IF(VLOOKUP(B51,cennik!A:L,12,FALSE)="O",1,""),"")</f>
        <v/>
      </c>
      <c r="K51" s="6"/>
    </row>
    <row r="52" spans="1:11" ht="12.75" customHeight="1">
      <c r="A52" s="436" t="str">
        <f>texty!$A$231</f>
        <v> Tlmič pre stredné krídlo do 25 kg</v>
      </c>
      <c r="B52" s="24">
        <v>318663</v>
      </c>
      <c r="C52" s="25" t="str">
        <f>+VLOOKUP(B52,cennik!$A:$G,2,FALSE)</f>
        <v>SEVROLL tlmič Central 10/18mm obojst. 25 kg</v>
      </c>
      <c r="D52" s="29"/>
      <c r="E52" s="92">
        <f>+VLOOKUP(B52,cennik!$A:$G,3,FALSE)</f>
        <v>47.918750000000003</v>
      </c>
      <c r="F52" s="97">
        <f>+CEILING(D52,1)*E52</f>
        <v>0</v>
      </c>
      <c r="G52" s="93">
        <f t="shared" si="7"/>
        <v>0</v>
      </c>
      <c r="H52" s="6" t="str">
        <f>cennik!$B$2</f>
        <v>EUR</v>
      </c>
      <c r="I52" s="483" t="str">
        <f>IFERROR(IF((VLOOKUP(B52,cennik!A:L,12,0))="O",texty!$A$250,""),"")</f>
        <v/>
      </c>
      <c r="J52" s="196" t="str">
        <f>IF(D52&gt;0,IF(VLOOKUP(B52,cennik!A:L,12,FALSE)="O",1,""),"")</f>
        <v/>
      </c>
      <c r="K52" s="6"/>
    </row>
    <row r="53" spans="1:11" ht="12.75" customHeight="1">
      <c r="A53" s="436" t="str">
        <f>texty!$A$232</f>
        <v> Tlmič pre stredné krídlo do 40 kg</v>
      </c>
      <c r="B53" s="24">
        <v>283955</v>
      </c>
      <c r="C53" s="25" t="str">
        <f>+VLOOKUP(B53,cennik!$A:$G,2,FALSE)</f>
        <v>SEVROLL tlmič Central 10/18mm obojst.25-40kg</v>
      </c>
      <c r="D53" s="29"/>
      <c r="E53" s="92">
        <f>+VLOOKUP(B53,cennik!$A:$G,3,FALSE)</f>
        <v>47.918750000000003</v>
      </c>
      <c r="F53" s="97">
        <f>+CEILING(D53,1)*E53</f>
        <v>0</v>
      </c>
      <c r="G53" s="93">
        <f t="shared" si="7"/>
        <v>0</v>
      </c>
      <c r="H53" s="6" t="str">
        <f>cennik!$B$2</f>
        <v>EUR</v>
      </c>
      <c r="I53" s="483" t="str">
        <f>IFERROR(IF((VLOOKUP(B53,cennik!A:L,12,0))="O",texty!$A$250,""),"")</f>
        <v/>
      </c>
      <c r="J53" s="196" t="str">
        <f>IF(D53&gt;0,IF(VLOOKUP(B53,cennik!A:L,12,FALSE)="O",1,""),"")</f>
        <v/>
      </c>
      <c r="K53" s="6"/>
    </row>
    <row r="54" spans="1:11" ht="12.75" customHeight="1">
      <c r="A54" s="7" t="str">
        <f>texty!$A$90</f>
        <v>protiprachový kartáč</v>
      </c>
      <c r="B54" s="16">
        <v>305348</v>
      </c>
      <c r="C54" s="25" t="str">
        <f>+VLOOKUP(B54,cennik!$A:$G,2,FALSE)</f>
        <v>SEVROLL dorazový kartáč zásuvný 4,8x9mm</v>
      </c>
      <c r="D54" s="30"/>
      <c r="E54" s="92">
        <f>+VLOOKUP(B54,cennik!$A:$G,3,FALSE)</f>
        <v>0.27248</v>
      </c>
      <c r="F54" s="92">
        <f>+E54*D54</f>
        <v>0</v>
      </c>
      <c r="G54" s="93">
        <f>+F54*(100-$G$28)/100</f>
        <v>0</v>
      </c>
      <c r="H54" s="6" t="str">
        <f>cennik!$B$2</f>
        <v>EUR</v>
      </c>
      <c r="I54" s="483" t="str">
        <f>IFERROR(IF((VLOOKUP(B54,cennik!A:L,12,0))="O",texty!$A$250,""),"")</f>
        <v/>
      </c>
      <c r="J54" s="196" t="str">
        <f>IF(D54&gt;0,IF(VLOOKUP(B54,cennik!A:L,12,FALSE)="O",1,""),"")</f>
        <v/>
      </c>
      <c r="K54" s="6"/>
    </row>
    <row r="55" spans="1:11" ht="12.75" customHeight="1">
      <c r="H55" s="5"/>
      <c r="I55" s="483" t="str">
        <f>IFERROR(IF((VLOOKUP(B55,cennik!A:L,12,0))="O",texty!$A$250,""),"")</f>
        <v/>
      </c>
      <c r="J55" s="196" t="str">
        <f>IF(D54&gt;0,IF(VLOOKUP(B54,cennik!A:L,12,FALSE)="O",1,""),"")</f>
        <v/>
      </c>
      <c r="K55" s="6"/>
    </row>
    <row r="56" spans="1:11" ht="12.75" customHeight="1">
      <c r="A56" s="676" t="str">
        <f>CONCATENATE(texty!$A$7," ",D58," ",texty!$A$9)</f>
        <v>Pokiaľ budete používať ako výplň sklo / zrkadlo, je nutné doobjednať tesnenie. Dĺžka tesnenia na jedno krídlo je  2 ks, pokiaľ je preskenných viac krídel, treba vynásobiť</v>
      </c>
      <c r="B56" s="676"/>
      <c r="C56" s="676"/>
      <c r="D56" s="676"/>
      <c r="E56" s="676"/>
      <c r="F56" s="676"/>
      <c r="G56" s="676"/>
      <c r="I56" s="483" t="str">
        <f>IFERROR(IF((VLOOKUP(B56,cennik!A:L,12,0))="O",texty!$A$250,""),"")</f>
        <v/>
      </c>
      <c r="J56" s="186"/>
      <c r="K56" s="6"/>
    </row>
    <row r="57" spans="1:11" ht="12.75" customHeight="1">
      <c r="A57" s="676"/>
      <c r="B57" s="676"/>
      <c r="C57" s="676"/>
      <c r="D57" s="676"/>
      <c r="E57" s="676"/>
      <c r="F57" s="676"/>
      <c r="G57" s="676"/>
      <c r="I57" s="483" t="str">
        <f>IFERROR(IF((VLOOKUP(B57,cennik!A:L,12,0))="O",texty!$A$250,""),"")</f>
        <v/>
      </c>
      <c r="J57" s="186"/>
      <c r="K57" s="6"/>
    </row>
    <row r="58" spans="1:11" ht="12.75" customHeight="1">
      <c r="A58" s="3" t="str">
        <f>texty!$A$11</f>
        <v>Potrebná dĺžka tesnenia pri celkovom presklení (nutné objednať celé metre)</v>
      </c>
      <c r="D58" s="39">
        <f>CEILING((B9*2+C9*2)/1000/0.2+2,1)</f>
        <v>2</v>
      </c>
      <c r="E58" s="95"/>
      <c r="F58" s="95"/>
      <c r="G58" s="95"/>
      <c r="I58" s="483" t="str">
        <f>IFERROR(IF((VLOOKUP(B58,cennik!A:L,12,0))="O",texty!$A$250,""),"")</f>
        <v/>
      </c>
      <c r="J58" s="186"/>
      <c r="K58" s="6"/>
    </row>
    <row r="59" spans="1:11" ht="12.75" customHeight="1">
      <c r="A59" s="3"/>
      <c r="D59" s="39"/>
      <c r="E59" s="95"/>
      <c r="F59" s="95"/>
      <c r="G59" s="95"/>
      <c r="I59" s="483" t="str">
        <f>IFERROR(IF((VLOOKUP(B59,cennik!A:L,12,0))="O",texty!$A$250,""),"")</f>
        <v/>
      </c>
      <c r="J59" s="186"/>
      <c r="K59" s="6"/>
    </row>
    <row r="60" spans="1:11" ht="12.75" customHeight="1">
      <c r="A60" s="48" t="str">
        <f>texty!$A$11</f>
        <v>Potrebná dĺžka tesnenia pri celkovom presklení (nutné objednať celé metre)</v>
      </c>
      <c r="B60" s="46"/>
      <c r="C60" s="47"/>
      <c r="D60" s="46"/>
      <c r="E60" s="100"/>
      <c r="F60" s="100"/>
      <c r="G60" s="100"/>
      <c r="I60" s="483" t="str">
        <f>IFERROR(IF((VLOOKUP(B60,cennik!A:L,12,0))="O",texty!$A$250,""),"")</f>
        <v/>
      </c>
      <c r="J60" s="186"/>
      <c r="K60" s="6"/>
    </row>
    <row r="61" spans="1:11" ht="28.25" customHeight="1">
      <c r="A61" s="493" t="str">
        <f>texty!A206</f>
        <v xml:space="preserve">Upevňovacie kliny Blue 40ks (sklo 4 mm) </v>
      </c>
      <c r="B61" s="8">
        <v>349856</v>
      </c>
      <c r="C61" s="25" t="str">
        <f>+VLOOKUP(B61,cennik!$A:$G,2,FALSE)</f>
        <v>SEVROLL upevňovací klín Blue 40ks (sklo 4mm)</v>
      </c>
      <c r="D61" s="45"/>
      <c r="E61" s="92">
        <f>+VLOOKUP(B61,cennik!$A:$G,3,FALSE)</f>
        <v>13.542260000000001</v>
      </c>
      <c r="F61" s="92">
        <f>+E61*D61</f>
        <v>0</v>
      </c>
      <c r="G61" s="494">
        <f>+F61*(100-$G$28)/100</f>
        <v>0</v>
      </c>
      <c r="H61" s="8" t="str">
        <f>cennik!$B$2</f>
        <v>EUR</v>
      </c>
      <c r="I61" s="483" t="str">
        <f>IFERROR(IF((VLOOKUP(B61,cennik!A:L,12,0))="O",texty!$A$250,""),"")</f>
        <v/>
      </c>
      <c r="J61" s="196" t="str">
        <f>IF(D61&gt;0,IF(VLOOKUP(B61,cennik!A:L,12,FALSE)="O",1,""),"")</f>
        <v/>
      </c>
      <c r="K61" s="3"/>
    </row>
    <row r="62" spans="1:11" ht="12.75" customHeight="1">
      <c r="A62" s="7"/>
      <c r="B62" s="17"/>
      <c r="C62" s="25"/>
      <c r="E62" s="92"/>
      <c r="F62" s="97"/>
      <c r="G62" s="494"/>
      <c r="H62" s="8"/>
      <c r="I62" s="483" t="str">
        <f>IFERROR(IF((VLOOKUP(B62,cennik!A:L,12,0))="O",texty!$A$250,""),"")</f>
        <v/>
      </c>
      <c r="J62" s="186"/>
      <c r="K62" s="3"/>
    </row>
    <row r="63" spans="1:11" ht="16">
      <c r="A63" s="285" t="str">
        <f>texty!$A$190</f>
        <v>Ďalšie príslušenstvo</v>
      </c>
      <c r="E63" s="219"/>
      <c r="F63" s="219"/>
      <c r="G63" s="219"/>
      <c r="H63" s="8"/>
      <c r="I63" s="483" t="str">
        <f>IFERROR(IF((VLOOKUP(B63,cennik!A:L,12,0))="O",texty!$A$250,""),"")</f>
        <v/>
      </c>
      <c r="J63" s="186"/>
      <c r="K63" s="6"/>
    </row>
    <row r="64" spans="1:11" ht="12.75" customHeight="1">
      <c r="A64" s="285" t="str">
        <f>texty!$A$244</f>
        <v>Technický nákres tohoto systému</v>
      </c>
      <c r="B64" s="495">
        <v>128842</v>
      </c>
      <c r="C64" s="172" t="str">
        <f>VLOOKUP(B64,cennik!A:C,2,0)</f>
        <v>SEVROLL-VRTÁK STUPŇOVITÝ 6,5/9,5mm</v>
      </c>
      <c r="D64" s="45"/>
      <c r="E64" s="92">
        <f>+VLOOKUP(B64,cennik!$A:$G,3,FALSE)</f>
        <v>23.986910000000002</v>
      </c>
      <c r="F64" s="97">
        <f>+CEILING(D64,1)*E64</f>
        <v>0</v>
      </c>
      <c r="G64" s="494">
        <f>+F64</f>
        <v>0</v>
      </c>
      <c r="H64" s="8" t="str">
        <f>cennik!$B$2</f>
        <v>EUR</v>
      </c>
      <c r="I64" s="483" t="str">
        <f>IFERROR(IF((VLOOKUP(B64,cennik!A:L,12,0))="O",texty!$A$250,""),"")</f>
        <v/>
      </c>
      <c r="J64" s="196" t="str">
        <f>IF(D64&gt;0,IF(VLOOKUP(B64,cennik!A:L,12,FALSE)="O",1,""),"")</f>
        <v/>
      </c>
      <c r="K64" s="6"/>
    </row>
    <row r="65" spans="1:13" ht="12.75" customHeight="1">
      <c r="E65" s="95"/>
      <c r="F65" s="95"/>
      <c r="G65" s="95"/>
      <c r="I65" s="186"/>
      <c r="J65" s="186"/>
    </row>
    <row r="66" spans="1:13" ht="12.75" customHeight="1">
      <c r="B66" s="8"/>
      <c r="C66" s="8"/>
      <c r="D66" s="77" t="str">
        <f>texty!$A$15</f>
        <v>CELKOM  (bez DPH)</v>
      </c>
      <c r="E66" s="100"/>
      <c r="F66" s="102">
        <f>SUM(F30:F64)</f>
        <v>155.80408</v>
      </c>
      <c r="G66" s="102">
        <f>SUM(G30:G64)</f>
        <v>155.80408</v>
      </c>
      <c r="H66" s="6" t="str">
        <f>cennik!$B$2</f>
        <v>EUR</v>
      </c>
      <c r="I66" s="186"/>
      <c r="J66" s="186"/>
      <c r="K66" s="5" t="str">
        <f>texty!A128</f>
        <v xml:space="preserve">strieborná </v>
      </c>
    </row>
    <row r="67" spans="1:13" ht="12.75" customHeight="1">
      <c r="A67" s="76" t="str">
        <f>System10!$A$67</f>
        <v>Vaša poznámka:</v>
      </c>
      <c r="B67" s="665"/>
      <c r="C67" s="666"/>
      <c r="D67" s="666"/>
      <c r="E67" s="666"/>
      <c r="F67" s="666"/>
      <c r="G67" s="666"/>
      <c r="K67" s="5" t="str">
        <f>texty!A130</f>
        <v>oliva</v>
      </c>
    </row>
    <row r="68" spans="1:13" ht="12.75" customHeight="1">
      <c r="A68" s="657">
        <f>profil!$U$15</f>
        <v>0</v>
      </c>
      <c r="B68" s="658"/>
      <c r="C68" s="658"/>
      <c r="D68" s="658"/>
      <c r="E68" s="658"/>
      <c r="F68" s="658"/>
      <c r="G68" s="658"/>
    </row>
    <row r="69" spans="1:13" ht="12.75" customHeight="1">
      <c r="A69" s="659">
        <f>IF(M69=1,texty!$A$215,IF(J69&gt;0,texty!$A$214,""))</f>
        <v>0</v>
      </c>
      <c r="B69" s="659"/>
      <c r="C69" s="659"/>
      <c r="D69" s="659"/>
      <c r="E69" s="659"/>
      <c r="F69" s="659"/>
      <c r="G69" s="659"/>
      <c r="J69" s="6" t="e">
        <f>SUM(J30:J64)</f>
        <v>#REF!</v>
      </c>
      <c r="M69" s="5">
        <f>IF(ISERROR(J69),1,0)</f>
        <v>1</v>
      </c>
    </row>
    <row r="70" spans="1:13" ht="12.75" customHeight="1"/>
    <row r="82" spans="1:1" ht="12.75" hidden="1" customHeight="1">
      <c r="A82" s="5">
        <v>3</v>
      </c>
    </row>
    <row r="83" spans="1:1" ht="12.75" customHeight="1"/>
    <row r="84" spans="1:1" ht="12.75" customHeight="1"/>
    <row r="85" spans="1:1" ht="12.75" customHeight="1"/>
    <row r="86" spans="1:1" ht="12.75" customHeight="1"/>
    <row r="87" spans="1:1" ht="12.75" customHeight="1"/>
  </sheetData>
  <sheetProtection algorithmName="SHA-512" hashValue="3+uYleGanqvFwEu3c23k4Ib6E9Nr/w97F7gIP14G4wnxSU0m88MV3ErCY0d7EQ2KlkQEASSLSNp1jVrGrTfzJg==" saltValue="J4rpRMfxLXAD9IRk6GlBQA==" spinCount="100000" sheet="1" objects="1" scenarios="1"/>
  <mergeCells count="12">
    <mergeCell ref="Q6:Q7"/>
    <mergeCell ref="R6:R7"/>
    <mergeCell ref="S6:S7"/>
    <mergeCell ref="T6:T7"/>
    <mergeCell ref="A56:G57"/>
    <mergeCell ref="B67:G67"/>
    <mergeCell ref="A68:G68"/>
    <mergeCell ref="A69:G69"/>
    <mergeCell ref="F4:I6"/>
    <mergeCell ref="B5:E5"/>
    <mergeCell ref="A13:B14"/>
    <mergeCell ref="A15:B16"/>
  </mergeCells>
  <conditionalFormatting sqref="D49 D54">
    <cfRule type="expression" dxfId="7" priority="8" stopIfTrue="1">
      <formula>IF(#REF!&gt;0,IF($D$49=0,1,0),0)</formula>
    </cfRule>
  </conditionalFormatting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4" priority="4">
      <formula>$D$4=4</formula>
    </cfRule>
    <cfRule type="expression" dxfId="3" priority="5">
      <formula>$D$4&lt;&gt;4</formula>
    </cfRule>
  </conditionalFormatting>
  <conditionalFormatting sqref="F4:I6">
    <cfRule type="expression" dxfId="2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$K$66:$K$67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A8CA837-F32F-425A-8A48-62C867F14C97}">
            <xm:f>$I30=texty!$A$250</xm:f>
            <x14:dxf>
              <font>
                <color rgb="FFFF0000"/>
              </font>
            </x14:dxf>
          </x14:cfRule>
          <xm:sqref>I30:I64</xm:sqref>
        </x14:conditionalFormatting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A30:H64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zoomScale="70" zoomScaleNormal="70" workbookViewId="0">
      <selection activeCell="C20" sqref="C20"/>
    </sheetView>
  </sheetViews>
  <sheetFormatPr baseColWidth="10" defaultColWidth="0" defaultRowHeight="13" zeroHeight="1"/>
  <cols>
    <col min="1" max="1" width="11.33203125" customWidth="1"/>
    <col min="2" max="2" width="46.6640625" bestFit="1" customWidth="1"/>
    <col min="3" max="3" width="9.1640625" customWidth="1"/>
    <col min="4" max="4" width="11.5" customWidth="1"/>
    <col min="5" max="5" width="9.1640625" customWidth="1"/>
    <col min="6" max="6" width="12.1640625" customWidth="1"/>
    <col min="7" max="9" width="9.1640625" customWidth="1"/>
    <col min="10" max="10" width="11.83203125" customWidth="1"/>
    <col min="11" max="13" width="12.5" customWidth="1"/>
    <col min="14" max="16384" width="12.5" hidden="1"/>
  </cols>
  <sheetData>
    <row r="1" spans="1:6"/>
    <row r="2" spans="1:6">
      <c r="F2" s="176"/>
    </row>
    <row r="3" spans="1:6">
      <c r="F3" s="39"/>
    </row>
    <row r="4" spans="1:6">
      <c r="A4" s="200"/>
      <c r="C4" s="201"/>
      <c r="D4" s="176"/>
      <c r="E4" s="176"/>
    </row>
    <row r="5" spans="1:6">
      <c r="C5" s="186"/>
      <c r="E5" s="91"/>
      <c r="F5" s="91"/>
    </row>
    <row r="6" spans="1:6">
      <c r="C6" s="186"/>
      <c r="E6" s="91"/>
      <c r="F6" s="91"/>
    </row>
    <row r="7" spans="1:6">
      <c r="C7" s="186"/>
      <c r="E7" s="91"/>
      <c r="F7" s="91"/>
    </row>
    <row r="8" spans="1:6">
      <c r="C8" s="186"/>
      <c r="E8" s="91"/>
      <c r="F8" s="91"/>
    </row>
    <row r="9" spans="1:6">
      <c r="E9" s="91"/>
      <c r="F9" s="91"/>
    </row>
    <row r="10" spans="1:6">
      <c r="E10" s="91"/>
      <c r="F10" s="91"/>
    </row>
    <row r="11" spans="1:6">
      <c r="A11" s="202"/>
      <c r="E11" s="91"/>
      <c r="F11" s="91"/>
    </row>
    <row r="12" spans="1:6">
      <c r="E12" s="91"/>
      <c r="F12" s="91"/>
    </row>
    <row r="13" spans="1:6">
      <c r="C13" s="186"/>
      <c r="D13" s="91"/>
      <c r="E13" s="91"/>
      <c r="F13" s="91"/>
    </row>
    <row r="14" spans="1:6">
      <c r="C14" s="186"/>
      <c r="D14" s="91"/>
      <c r="E14" s="91"/>
      <c r="F14" s="91"/>
    </row>
    <row r="15" spans="1:6">
      <c r="C15" s="186"/>
      <c r="D15" s="91"/>
      <c r="E15" s="91"/>
      <c r="F15" s="91"/>
    </row>
    <row r="16" spans="1:6">
      <c r="D16" s="91"/>
      <c r="E16" s="91"/>
      <c r="F16" s="91"/>
    </row>
    <row r="17" spans="1:6">
      <c r="D17" s="91"/>
      <c r="E17" s="91"/>
      <c r="F17" s="91"/>
    </row>
    <row r="18" spans="1:6">
      <c r="C18" s="186"/>
      <c r="D18" s="91"/>
      <c r="E18" s="91"/>
      <c r="F18" s="91"/>
    </row>
    <row r="19" spans="1:6">
      <c r="C19" s="186"/>
      <c r="D19" s="91"/>
      <c r="E19" s="91"/>
      <c r="F19" s="91"/>
    </row>
    <row r="20" spans="1:6">
      <c r="C20" s="186"/>
      <c r="D20" s="91"/>
      <c r="E20" s="91"/>
      <c r="F20" s="91"/>
    </row>
    <row r="21" spans="1:6">
      <c r="D21" s="91"/>
      <c r="E21" s="91"/>
      <c r="F21" s="91"/>
    </row>
    <row r="22" spans="1:6">
      <c r="A22" s="202"/>
    </row>
    <row r="23" spans="1:6">
      <c r="C23" s="186"/>
      <c r="D23" s="91"/>
      <c r="E23" s="91"/>
      <c r="F23" s="91"/>
    </row>
    <row r="24" spans="1:6">
      <c r="C24" s="186"/>
      <c r="D24" s="91"/>
      <c r="E24" s="91"/>
      <c r="F24" s="91"/>
    </row>
    <row r="25" spans="1:6">
      <c r="C25" s="186"/>
      <c r="D25" s="91"/>
      <c r="E25" s="91"/>
      <c r="F25" s="91"/>
    </row>
    <row r="26" spans="1:6">
      <c r="C26" s="186"/>
      <c r="D26" s="91"/>
      <c r="E26" s="91"/>
      <c r="F26" s="91"/>
    </row>
    <row r="27" spans="1:6">
      <c r="C27" s="186"/>
      <c r="D27" s="91"/>
      <c r="E27" s="91"/>
      <c r="F27" s="91"/>
    </row>
    <row r="28" spans="1:6"/>
    <row r="29" spans="1:6"/>
    <row r="30" spans="1:6"/>
    <row r="31" spans="1:6"/>
    <row r="32" spans="1:6">
      <c r="C32" s="202"/>
      <c r="F32" s="203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</sheetData>
  <sheetProtection algorithmName="SHA-512" hashValue="uD727+D0hg1Z0/u2gAZMtVkR8xfBOSS32tsh+e3PeM8un522Afp1AWxy8ns94/coE6zAhljIuaivmeRfikDksg==" saltValue="tWqdef1zEyQxOEOed8UJd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zoomScale="85" zoomScaleNormal="85" workbookViewId="0">
      <selection activeCell="C75" sqref="C75"/>
    </sheetView>
  </sheetViews>
  <sheetFormatPr baseColWidth="10" defaultColWidth="0" defaultRowHeight="13" zeroHeight="1"/>
  <cols>
    <col min="1" max="1" width="9.1640625" customWidth="1"/>
    <col min="2" max="2" width="46.6640625" bestFit="1" customWidth="1"/>
    <col min="3" max="5" width="9.1640625" customWidth="1"/>
    <col min="6" max="6" width="12.1640625" customWidth="1"/>
    <col min="7" max="10" width="7" customWidth="1"/>
    <col min="11" max="11" width="14.5" customWidth="1"/>
    <col min="12" max="18" width="7" customWidth="1"/>
    <col min="19" max="16384" width="7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 spans="1:6"/>
    <row r="66" spans="1:6"/>
    <row r="67" spans="1:6"/>
    <row r="68" spans="1:6"/>
    <row r="69" spans="1:6"/>
    <row r="70" spans="1:6"/>
    <row r="71" spans="1:6"/>
    <row r="72" spans="1:6" ht="28">
      <c r="F72" s="536" t="str">
        <f>texty!$A$21</f>
        <v>partnerská zľava:</v>
      </c>
    </row>
    <row r="73" spans="1:6">
      <c r="F73" s="142">
        <f>profil!C$15</f>
        <v>0</v>
      </c>
    </row>
    <row r="74" spans="1:6" ht="28">
      <c r="C74" s="537" t="str">
        <f>texty!A33</f>
        <v>zadajte počet:</v>
      </c>
      <c r="D74" s="176" t="str">
        <f>texty!$A$18</f>
        <v>cena/ks</v>
      </c>
      <c r="E74" s="176" t="str">
        <f>texty!$A$19</f>
        <v>cena celkom</v>
      </c>
    </row>
    <row r="75" spans="1:6">
      <c r="A75">
        <v>222761</v>
      </c>
      <c r="B75" t="str">
        <f>VLOOKUP(A75,cennik!A:C,2,0)</f>
        <v>SEVROLL šablóna pre vozíky DTD 18mm</v>
      </c>
      <c r="C75" s="29"/>
      <c r="D75">
        <f>+VLOOKUP(A75,cennik!$A:$G,3,FALSE)</f>
        <v>4.56548</v>
      </c>
      <c r="E75" s="91">
        <f>D75*C75</f>
        <v>0</v>
      </c>
      <c r="F75" s="91">
        <f>+E75*(100-$F$73)/100</f>
        <v>0</v>
      </c>
    </row>
    <row r="76" spans="1:6"/>
    <row r="77" spans="1:6"/>
    <row r="80" spans="1:6" ht="14" hidden="1" thickBot="1"/>
    <row r="81" spans="3:7" ht="14" hidden="1" thickBot="1">
      <c r="C81" s="177" t="str">
        <f>texty!$A$15</f>
        <v>CELKOM  (bez DPH)</v>
      </c>
      <c r="D81" s="178"/>
      <c r="E81" s="178"/>
      <c r="F81" s="179">
        <f>SUM(F75:F79)</f>
        <v>0</v>
      </c>
      <c r="G81" t="str">
        <f>cennik!$B$2</f>
        <v>EUR</v>
      </c>
    </row>
  </sheetData>
  <sheetProtection algorithmName="SHA-512" hashValue="4qNeuUNzkOnHtd3h+3fxEytJemTSQyjCQfos0+DSz4Ghs45Wuq0UdMxGvj6McDfHK1y9JTn7OnlS2HgD7tXRWQ==" saltValue="xMpe97KIZIg9z9vjzKThGg==" spinCount="100000" sheet="1" objects="1" scenarios="1"/>
  <pageMargins left="0.7" right="0.7" top="0.78740157499999996" bottom="0.78740157499999996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zoomScale="85" zoomScaleNormal="85" workbookViewId="0">
      <selection activeCell="D19" sqref="D19"/>
    </sheetView>
  </sheetViews>
  <sheetFormatPr baseColWidth="10" defaultColWidth="0" defaultRowHeight="13" zeroHeight="1"/>
  <cols>
    <col min="1" max="1" width="9.1640625" customWidth="1"/>
    <col min="2" max="2" width="46.6640625" bestFit="1" customWidth="1"/>
    <col min="3" max="5" width="9.1640625" customWidth="1"/>
    <col min="6" max="6" width="10.5" hidden="1" customWidth="1"/>
    <col min="7" max="10" width="7" hidden="1" customWidth="1"/>
    <col min="11" max="11" width="14.5" hidden="1" customWidth="1"/>
    <col min="12" max="23" width="8.83203125" customWidth="1"/>
    <col min="24" max="16384" width="8.832031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sheetProtection algorithmName="SHA-512" hashValue="ucNMssMgaydZnaOWSHJP96lsFS97m5Va4uZhaj15pMCU9JX6bdHk2mMuegtNuAwpijV6juWltFksiXQP6RvmDA==" saltValue="tVK8PsocrLOwl3ZJNj/OYA==" spinCount="100000" sheet="1" objects="1" scenarios="1"/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zoomScale="70" zoomScaleNormal="70" workbookViewId="0">
      <selection activeCell="D19" sqref="D19"/>
    </sheetView>
  </sheetViews>
  <sheetFormatPr baseColWidth="10" defaultColWidth="0" defaultRowHeight="13.25" customHeight="1" zeroHeight="1"/>
  <cols>
    <col min="1" max="1" width="9.1640625" customWidth="1"/>
    <col min="2" max="2" width="46.6640625" bestFit="1" customWidth="1"/>
    <col min="3" max="5" width="9.1640625" customWidth="1"/>
    <col min="6" max="6" width="12.1640625" customWidth="1"/>
    <col min="7" max="10" width="7" customWidth="1"/>
    <col min="11" max="11" width="14.5" customWidth="1"/>
    <col min="12" max="16" width="7" customWidth="1"/>
    <col min="17" max="18" width="7" hidden="1" customWidth="1"/>
    <col min="19" max="16384" width="8.83203125" hidden="1"/>
  </cols>
  <sheetData>
    <row r="1" s="376" customFormat="1" ht="13"/>
    <row r="2" s="376" customFormat="1" ht="13"/>
    <row r="3" s="376" customFormat="1" ht="13"/>
    <row r="4" s="376" customFormat="1" ht="13"/>
    <row r="5" s="376" customFormat="1" ht="13"/>
    <row r="6" s="376" customFormat="1" ht="13"/>
    <row r="7" s="376" customFormat="1" ht="13"/>
    <row r="8" s="376" customFormat="1" ht="13"/>
    <row r="9" s="376" customFormat="1" ht="13"/>
    <row r="10" s="376" customFormat="1" ht="13"/>
    <row r="11" s="376" customFormat="1" ht="13"/>
    <row r="12" s="376" customFormat="1" ht="13"/>
    <row r="13" s="376" customFormat="1" ht="13"/>
    <row r="14" s="376" customFormat="1" ht="13"/>
    <row r="15" s="376" customFormat="1" ht="13"/>
    <row r="16" s="376" customFormat="1" ht="13"/>
    <row r="17" s="376" customFormat="1" ht="13"/>
    <row r="18" s="376" customFormat="1" ht="13"/>
    <row r="19" s="376" customFormat="1" ht="13"/>
    <row r="20" s="376" customFormat="1" ht="13"/>
    <row r="21" s="376" customFormat="1" ht="13"/>
    <row r="22" s="376" customFormat="1" ht="13"/>
    <row r="23" s="376" customFormat="1" ht="13"/>
    <row r="24" s="376" customFormat="1" ht="13"/>
    <row r="25" s="376" customFormat="1" ht="13"/>
    <row r="26" s="376" customFormat="1" ht="13"/>
    <row r="27" s="376" customFormat="1" ht="13"/>
    <row r="28" s="376" customFormat="1" ht="13"/>
    <row r="29" s="376" customFormat="1" ht="13"/>
    <row r="30" s="376" customFormat="1" ht="13"/>
    <row r="31" s="376" customFormat="1" ht="13"/>
    <row r="32" s="376" customFormat="1" ht="13"/>
    <row r="33" s="376" customFormat="1" ht="13"/>
    <row r="34" s="376" customFormat="1" ht="13"/>
    <row r="35" s="376" customFormat="1" ht="13"/>
    <row r="36" s="376" customFormat="1" ht="13"/>
    <row r="37" s="376" customFormat="1" ht="13"/>
    <row r="38" s="376" customFormat="1" ht="13"/>
    <row r="39" s="376" customFormat="1" ht="13"/>
    <row r="40" s="376" customFormat="1" ht="13"/>
    <row r="41" s="376" customFormat="1" ht="13"/>
    <row r="42" s="376" customFormat="1" ht="13"/>
    <row r="43" s="376" customFormat="1" ht="13"/>
    <row r="44" s="376" customFormat="1" ht="13"/>
    <row r="45" s="376" customFormat="1" ht="13"/>
    <row r="46" s="376" customFormat="1" ht="13"/>
    <row r="47" s="376" customFormat="1" ht="13"/>
    <row r="48" s="376" customFormat="1" ht="13"/>
    <row r="49" s="376" customFormat="1" ht="13"/>
    <row r="50" s="376" customFormat="1" ht="13"/>
    <row r="51" s="376" customFormat="1" ht="13"/>
    <row r="52" s="376" customFormat="1" ht="13"/>
    <row r="53" s="376" customFormat="1" ht="13"/>
    <row r="54" s="376" customFormat="1" ht="13"/>
    <row r="55" s="376" customFormat="1" ht="13"/>
    <row r="56" s="376" customFormat="1" ht="13"/>
    <row r="57" s="376" customFormat="1" ht="13"/>
    <row r="58" s="376" customFormat="1" ht="13"/>
    <row r="59" s="376" customFormat="1" ht="13"/>
    <row r="60" s="376" customFormat="1" ht="13"/>
    <row r="61" s="376" customFormat="1" ht="13"/>
    <row r="62" s="376" customFormat="1" ht="13"/>
    <row r="63" s="376" customFormat="1" ht="13"/>
    <row r="64" s="376" customFormat="1" ht="13"/>
    <row r="65" s="376" customFormat="1" ht="13"/>
  </sheetData>
  <sheetProtection algorithmName="SHA-512" hashValue="5LsXj1gYdzqx44mrttgQgjJlWrb3hKnimhetONfXKZQUvz7r6KzDVY/ymO8p5MQOKRzGcpclpGcqSx09kxXStA==" saltValue="TH2hQRy0dW7d3LrmHsFa+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topLeftCell="A4" zoomScale="70" zoomScaleNormal="70" workbookViewId="0">
      <selection activeCell="D19" sqref="D19"/>
    </sheetView>
  </sheetViews>
  <sheetFormatPr baseColWidth="10" defaultColWidth="0" defaultRowHeight="13.25" customHeight="1" zeroHeight="1"/>
  <cols>
    <col min="1" max="1" width="9.1640625" customWidth="1"/>
    <col min="2" max="2" width="46.6640625" bestFit="1" customWidth="1"/>
    <col min="3" max="5" width="9.1640625" customWidth="1"/>
    <col min="6" max="6" width="12.1640625" customWidth="1"/>
    <col min="7" max="10" width="7" customWidth="1"/>
    <col min="11" max="11" width="14.5" customWidth="1"/>
    <col min="12" max="18" width="7" customWidth="1"/>
    <col min="19" max="19" width="8.83203125" customWidth="1"/>
    <col min="20" max="20" width="4.5" customWidth="1"/>
    <col min="21" max="16384" width="8.83203125" hidden="1"/>
  </cols>
  <sheetData>
    <row r="1" s="376" customFormat="1" ht="13"/>
    <row r="2" s="376" customFormat="1" ht="13"/>
    <row r="3" s="376" customFormat="1" ht="13"/>
    <row r="4" s="376" customFormat="1" ht="13"/>
    <row r="5" s="376" customFormat="1" ht="13"/>
    <row r="6" s="376" customFormat="1" ht="13"/>
    <row r="7" s="376" customFormat="1" ht="13"/>
    <row r="8" s="376" customFormat="1" ht="13"/>
    <row r="9" s="376" customFormat="1" ht="13"/>
    <row r="10" s="376" customFormat="1" ht="13"/>
    <row r="11" s="376" customFormat="1" ht="13"/>
    <row r="12" s="376" customFormat="1" ht="13"/>
    <row r="13" s="376" customFormat="1" ht="13"/>
    <row r="14" s="376" customFormat="1" ht="13"/>
    <row r="15" s="376" customFormat="1" ht="13"/>
    <row r="16" s="376" customFormat="1" ht="13"/>
    <row r="17" s="376" customFormat="1" ht="13"/>
    <row r="18" s="376" customFormat="1" ht="13"/>
    <row r="19" s="376" customFormat="1" ht="13"/>
    <row r="20" s="376" customFormat="1" ht="13"/>
    <row r="21" s="376" customFormat="1" ht="13"/>
    <row r="22" s="376" customFormat="1" ht="13"/>
    <row r="23" s="376" customFormat="1" ht="13"/>
    <row r="24" s="376" customFormat="1" ht="13"/>
    <row r="25" s="376" customFormat="1" ht="13"/>
    <row r="26" s="376" customFormat="1" ht="13"/>
    <row r="27" s="376" customFormat="1" ht="13"/>
    <row r="28" s="376" customFormat="1" ht="13"/>
    <row r="29" s="376" customFormat="1" ht="13"/>
    <row r="30" s="376" customFormat="1" ht="13"/>
    <row r="31" s="376" customFormat="1" ht="13"/>
    <row r="32" s="376" customFormat="1" ht="13"/>
    <row r="33" s="376" customFormat="1" ht="13"/>
    <row r="34" s="376" customFormat="1" ht="13"/>
    <row r="35" s="376" customFormat="1" ht="13"/>
    <row r="36" s="376" customFormat="1" ht="13"/>
    <row r="37" s="376" customFormat="1" ht="13"/>
    <row r="38" s="376" customFormat="1" ht="13"/>
    <row r="39" s="376" customFormat="1" ht="13"/>
    <row r="40" s="376" customFormat="1" ht="13"/>
    <row r="41" s="376" customFormat="1" ht="13"/>
    <row r="42" s="376" customFormat="1" ht="13"/>
    <row r="43" s="376" customFormat="1" ht="13"/>
    <row r="44" s="376" customFormat="1" ht="13"/>
    <row r="45" s="376" customFormat="1" ht="13"/>
    <row r="46" s="376" customFormat="1" ht="13"/>
    <row r="47" s="376" customFormat="1" ht="13"/>
    <row r="48" s="376" customFormat="1" ht="13"/>
    <row r="49" s="376" customFormat="1" ht="13"/>
    <row r="50" s="376" customFormat="1" ht="13"/>
    <row r="51" s="376" customFormat="1" ht="13"/>
    <row r="52" s="376" customFormat="1" ht="13"/>
    <row r="53" s="376" customFormat="1" ht="13"/>
    <row r="54" s="376" customFormat="1" ht="13"/>
    <row r="55" s="376" customFormat="1" ht="13"/>
    <row r="56" s="376" customFormat="1" ht="13"/>
    <row r="57" s="376" customFormat="1" ht="13"/>
    <row r="58" s="376" customFormat="1" ht="13"/>
    <row r="59" s="376" customFormat="1" ht="13"/>
    <row r="60" s="376" customFormat="1" ht="13"/>
    <row r="61" s="376" customFormat="1" ht="13"/>
    <row r="62" s="376" customFormat="1" ht="13"/>
    <row r="63" s="376" customFormat="1" ht="13"/>
    <row r="64" s="376" customFormat="1" ht="13"/>
    <row r="65" s="376" customFormat="1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</sheetData>
  <sheetProtection algorithmName="SHA-512" hashValue="JcmkJHjHgTeeKprlP9O4VRDANlEbgReRGfN0E8/LP7YKqbLCbtYZnC3oWoTHlLzkoR0NC+uySy7jzNDhrvkiiw==" saltValue="HZmQErvwHEMjGlFDVL+Sn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topLeftCell="A19" zoomScale="55" zoomScaleNormal="55" workbookViewId="0">
      <selection activeCell="D19" sqref="D19"/>
    </sheetView>
  </sheetViews>
  <sheetFormatPr baseColWidth="10" defaultColWidth="0" defaultRowHeight="13.25" customHeight="1" zeroHeight="1"/>
  <cols>
    <col min="1" max="1" width="9.1640625" customWidth="1"/>
    <col min="2" max="2" width="46.6640625" bestFit="1" customWidth="1"/>
    <col min="3" max="5" width="9.1640625" customWidth="1"/>
    <col min="6" max="6" width="12.1640625" customWidth="1"/>
    <col min="7" max="10" width="7" customWidth="1"/>
    <col min="11" max="11" width="14.5" customWidth="1"/>
    <col min="12" max="18" width="7" customWidth="1"/>
    <col min="19" max="19" width="8.83203125" customWidth="1"/>
    <col min="20" max="20" width="4.5" hidden="1" customWidth="1"/>
    <col min="21" max="16384" width="8.83203125" hidden="1"/>
  </cols>
  <sheetData>
    <row r="1" s="376" customFormat="1" ht="13"/>
    <row r="2" s="376" customFormat="1" ht="13"/>
    <row r="3" s="376" customFormat="1" ht="13"/>
    <row r="4" s="376" customFormat="1" ht="13"/>
    <row r="5" s="376" customFormat="1" ht="13"/>
    <row r="6" s="376" customFormat="1" ht="13"/>
    <row r="7" s="376" customFormat="1" ht="13"/>
    <row r="8" s="376" customFormat="1" ht="13"/>
    <row r="9" s="376" customFormat="1" ht="13"/>
    <row r="10" s="376" customFormat="1" ht="13"/>
    <row r="11" s="376" customFormat="1" ht="13"/>
    <row r="12" s="376" customFormat="1" ht="13"/>
    <row r="13" s="376" customFormat="1" ht="13"/>
    <row r="14" s="376" customFormat="1" ht="13"/>
    <row r="15" s="376" customFormat="1" ht="13"/>
    <row r="16" s="376" customFormat="1" ht="13"/>
    <row r="17" s="376" customFormat="1" ht="13"/>
    <row r="18" s="376" customFormat="1" ht="13"/>
    <row r="19" s="376" customFormat="1" ht="13"/>
    <row r="20" s="376" customFormat="1" ht="13"/>
    <row r="21" s="376" customFormat="1" ht="13"/>
    <row r="22" s="376" customFormat="1" ht="13"/>
    <row r="23" s="376" customFormat="1" ht="13"/>
    <row r="24" s="376" customFormat="1" ht="13"/>
    <row r="25" s="376" customFormat="1" ht="13"/>
    <row r="26" s="376" customFormat="1" ht="13"/>
    <row r="27" s="376" customFormat="1" ht="13"/>
    <row r="28" s="376" customFormat="1" ht="13"/>
    <row r="29" s="376" customFormat="1" ht="13"/>
    <row r="30" s="376" customFormat="1" ht="13"/>
    <row r="31" s="376" customFormat="1" ht="13"/>
    <row r="32" s="376" customFormat="1" ht="13"/>
    <row r="33" s="376" customFormat="1" ht="13"/>
    <row r="34" s="376" customFormat="1" ht="13"/>
    <row r="35" s="376" customFormat="1" ht="13"/>
    <row r="36" s="376" customFormat="1" ht="13"/>
    <row r="37" s="376" customFormat="1" ht="13"/>
    <row r="38" s="376" customFormat="1" ht="13"/>
    <row r="39" s="376" customFormat="1" ht="13"/>
    <row r="40" s="376" customFormat="1" ht="13"/>
    <row r="41" s="376" customFormat="1" ht="13"/>
    <row r="42" s="376" customFormat="1" ht="13"/>
    <row r="43" s="376" customFormat="1" ht="13"/>
    <row r="44" s="376" customFormat="1" ht="13"/>
    <row r="45" s="376" customFormat="1" ht="13"/>
    <row r="46" s="376" customFormat="1" ht="13"/>
    <row r="47" s="376" customFormat="1" ht="13"/>
    <row r="48" s="376" customFormat="1" ht="13"/>
    <row r="49" s="376" customFormat="1" ht="13"/>
    <row r="50" s="376" customFormat="1" ht="13"/>
    <row r="51" s="376" customFormat="1" ht="13"/>
    <row r="52" s="376" customFormat="1" ht="13"/>
    <row r="53" s="376" customFormat="1" ht="13"/>
    <row r="54" s="376" customFormat="1" ht="13"/>
    <row r="55" s="376" customFormat="1" ht="13"/>
    <row r="56" s="376" customFormat="1" ht="13"/>
    <row r="57" s="376" customFormat="1" ht="13"/>
    <row r="58" s="376" customFormat="1" ht="13"/>
    <row r="59" s="376" customFormat="1" ht="13"/>
    <row r="60" s="376" customFormat="1" ht="13"/>
    <row r="61" s="376" customFormat="1" ht="13"/>
    <row r="62" s="376" customFormat="1" ht="13"/>
    <row r="63" s="376" customFormat="1" ht="13"/>
    <row r="64" s="376" customFormat="1" ht="13"/>
    <row r="65" s="376" customFormat="1" ht="13"/>
    <row r="66" ht="13.25" customHeight="1"/>
    <row r="67" ht="13.25" customHeight="1"/>
    <row r="68" ht="13.25" customHeight="1"/>
    <row r="69" ht="13.25" customHeight="1"/>
    <row r="70" ht="13.25" customHeight="1"/>
    <row r="71" ht="13.25" customHeight="1"/>
    <row r="72" ht="13.25" customHeight="1"/>
    <row r="73" ht="13.25" customHeight="1"/>
    <row r="74" ht="13.25" customHeight="1"/>
    <row r="75" ht="13.25" customHeight="1"/>
    <row r="76" ht="13.25" customHeight="1"/>
    <row r="77" ht="13.25" customHeight="1"/>
    <row r="78" ht="13.25" customHeight="1"/>
    <row r="79" ht="13.25" customHeight="1"/>
    <row r="80" ht="13.25" customHeight="1"/>
    <row r="81" ht="13.25" customHeight="1"/>
    <row r="82" ht="13.25" customHeight="1"/>
    <row r="83" ht="13.25" customHeight="1"/>
    <row r="84" ht="13.25" customHeight="1"/>
    <row r="85" ht="13.25" customHeight="1"/>
    <row r="86" ht="13.25" customHeight="1"/>
    <row r="87" ht="13.25" customHeight="1"/>
    <row r="88" ht="13.25" customHeight="1"/>
    <row r="89" ht="13.25" customHeight="1"/>
    <row r="90" ht="13.25" customHeight="1"/>
    <row r="91" ht="13.25" customHeight="1"/>
    <row r="92" ht="13.25" customHeight="1"/>
    <row r="93" ht="13.25" customHeight="1"/>
    <row r="94" ht="13.25" customHeight="1"/>
    <row r="95" ht="13.25" customHeight="1"/>
    <row r="96" ht="13.25" customHeight="1"/>
    <row r="97" ht="13.25" customHeight="1"/>
    <row r="98" ht="13.25" customHeight="1"/>
    <row r="99" ht="13.25" customHeight="1"/>
    <row r="100" ht="13.25" customHeight="1"/>
    <row r="101" ht="13.25" customHeight="1"/>
  </sheetData>
  <sheetProtection algorithmName="SHA-512" hashValue="R8r/lJPaZ9JR/OaL3q93d8Yu2RG75/zH3vb7eu1RQmtwP0BUgY1kYd7tIqNg2bAczetAFCaN16m2sGKnl7ygjA==" saltValue="Y2CO/rmWmFUqdJRoe6szU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="85" zoomScaleNormal="85" workbookViewId="0">
      <selection activeCell="C8" sqref="C8"/>
    </sheetView>
  </sheetViews>
  <sheetFormatPr baseColWidth="10" defaultColWidth="0" defaultRowHeight="13" zeroHeight="1"/>
  <cols>
    <col min="1" max="1" width="11.33203125" style="376" customWidth="1"/>
    <col min="2" max="2" width="46.6640625" style="376" bestFit="1" customWidth="1"/>
    <col min="3" max="3" width="9.1640625" style="376" customWidth="1"/>
    <col min="4" max="4" width="11.5" style="376" customWidth="1"/>
    <col min="5" max="5" width="9.1640625" style="376" customWidth="1"/>
    <col min="6" max="6" width="11.5" style="376" customWidth="1"/>
    <col min="7" max="7" width="15.33203125" style="376" customWidth="1"/>
    <col min="8" max="9" width="9.1640625" style="376" customWidth="1"/>
    <col min="10" max="10" width="11.83203125" style="376" customWidth="1"/>
    <col min="11" max="16384" width="12.5" style="376" hidden="1"/>
  </cols>
  <sheetData>
    <row r="1" spans="1:7" ht="28">
      <c r="A1" s="677" t="str">
        <f>texty!A193</f>
        <v>Späť na úvodnú stránku</v>
      </c>
      <c r="B1" s="677"/>
      <c r="F1" s="381" t="str">
        <f>texty!$A$21</f>
        <v>partnerská zľava:</v>
      </c>
    </row>
    <row r="2" spans="1:7">
      <c r="F2" s="388">
        <f>profil!C15</f>
        <v>0</v>
      </c>
    </row>
    <row r="3" spans="1:7" ht="41.25" customHeight="1">
      <c r="A3" s="377" t="str">
        <f>texty!A190</f>
        <v>Ďalšie príslušenstvo</v>
      </c>
      <c r="C3" s="384" t="str">
        <f>texty!A33</f>
        <v>zadajte počet:</v>
      </c>
      <c r="D3" s="381" t="str">
        <f>texty!$A$18</f>
        <v>cena/ks</v>
      </c>
      <c r="E3" s="381" t="str">
        <f>texty!$A$19</f>
        <v>cena celkom</v>
      </c>
    </row>
    <row r="4" spans="1:7">
      <c r="A4" s="376">
        <v>129677</v>
      </c>
      <c r="B4" s="376" t="str">
        <f>VLOOKUP(A4,cennik!A:C,2,0)</f>
        <v>SEVROLL-MONT.PRÍPRAVOK NA DTD 10mm MALÝ</v>
      </c>
      <c r="C4" s="387"/>
      <c r="D4" s="376">
        <f>+VLOOKUP(A4,cennik!$A:$G,3,FALSE)</f>
        <v>5.60419</v>
      </c>
      <c r="E4" s="382">
        <f>D4*C4</f>
        <v>0</v>
      </c>
      <c r="F4" s="382">
        <f>+E4</f>
        <v>0</v>
      </c>
    </row>
    <row r="5" spans="1:7">
      <c r="A5" s="376">
        <v>128842</v>
      </c>
      <c r="B5" s="376" t="str">
        <f>VLOOKUP(A5,cennik!A:C,2,0)</f>
        <v>SEVROLL-VRTÁK STUPŇOVITÝ 6,5/9,5mm</v>
      </c>
      <c r="C5" s="387"/>
      <c r="D5" s="376">
        <f>+VLOOKUP(A5,cennik!$A:$G,3,FALSE)</f>
        <v>23.986910000000002</v>
      </c>
      <c r="E5" s="382">
        <f>D5*C5</f>
        <v>0</v>
      </c>
      <c r="F5" s="382">
        <f>+E5</f>
        <v>0</v>
      </c>
    </row>
    <row r="6" spans="1:7">
      <c r="A6" s="199">
        <v>223569</v>
      </c>
      <c r="B6" s="21" t="str">
        <f>+VLOOKUP(A6,cennik!$A:$G,2,FALSE)</f>
        <v>SEVROLL spona dorazového kartáča</v>
      </c>
      <c r="C6" s="387"/>
      <c r="D6" s="376">
        <f>+VLOOKUP(A6,cennik!$A:$G,3,FALSE)</f>
        <v>7.399E-2</v>
      </c>
      <c r="E6" s="382">
        <f>D6*C6</f>
        <v>0</v>
      </c>
      <c r="F6" s="382">
        <f>+E6*(100-$F$2)/100</f>
        <v>0</v>
      </c>
    </row>
    <row r="7" spans="1:7">
      <c r="A7" s="378">
        <v>283281</v>
      </c>
      <c r="B7" s="21" t="str">
        <f>+VLOOKUP(A7,cennik!$A:$G,2,FALSE)</f>
        <v>IF-krytka nalepovacia13mm 20ks 93336 hli</v>
      </c>
      <c r="C7" s="387"/>
      <c r="D7" s="376" t="e">
        <f>+VLOOKUP(A7,cennik!$A:$G,3,FALSE)</f>
        <v>#N/A</v>
      </c>
      <c r="E7" s="382" t="e">
        <f>D7*C7</f>
        <v>#N/A</v>
      </c>
      <c r="F7" s="382" t="e">
        <f>+E7</f>
        <v>#N/A</v>
      </c>
      <c r="G7" s="376" t="str">
        <f>CONCATENATE("(20 ",texty!$A$17,"; ",texty!$A$18,")")</f>
        <v>(20 ks; cena/ks)</v>
      </c>
    </row>
    <row r="8" spans="1:7">
      <c r="A8" s="376">
        <v>283283</v>
      </c>
      <c r="B8" s="21" t="str">
        <f>+VLOOKUP(A8,cennik!$A:$G,2,FALSE)</f>
        <v>IF-krytka nalepovacia13mm 20ks 06 oliva</v>
      </c>
      <c r="C8" s="387"/>
      <c r="D8" s="376" t="e">
        <f>+VLOOKUP(A8,cennik!$A:$G,3,FALSE)</f>
        <v>#N/A</v>
      </c>
      <c r="E8" s="382" t="e">
        <f>D8*C8</f>
        <v>#N/A</v>
      </c>
      <c r="F8" s="382" t="e">
        <f>+E8</f>
        <v>#N/A</v>
      </c>
      <c r="G8" s="376" t="str">
        <f>CONCATENATE("(20 ",texty!$A$17,"; ",texty!$A$18,")")</f>
        <v>(20 ks; cena/ks)</v>
      </c>
    </row>
    <row r="9" spans="1:7">
      <c r="E9" s="382"/>
      <c r="F9" s="382"/>
    </row>
    <row r="10" spans="1:7">
      <c r="E10" s="382"/>
      <c r="F10" s="382"/>
    </row>
    <row r="11" spans="1:7">
      <c r="A11" s="379" t="str">
        <f>texty!A195</f>
        <v>Jednoduché vedenie pre systémy:</v>
      </c>
      <c r="E11" s="382"/>
      <c r="F11" s="382"/>
    </row>
    <row r="12" spans="1:7">
      <c r="A12" s="376" t="s">
        <v>785</v>
      </c>
      <c r="E12" s="382"/>
      <c r="F12" s="382"/>
    </row>
    <row r="13" spans="1:7">
      <c r="A13" s="376">
        <v>89029</v>
      </c>
      <c r="B13" s="376" t="str">
        <f>VLOOKUP(A13,cennik!A:C,2,0)</f>
        <v>SEVROLL Single horné vedenie 1,7m strieborná</v>
      </c>
      <c r="C13" s="387"/>
      <c r="D13" s="382">
        <f>+VLOOKUP(A13,cennik!$A:$G,3,FALSE)</f>
        <v>16.535340000000001</v>
      </c>
      <c r="E13" s="382">
        <f>D13*C13</f>
        <v>0</v>
      </c>
      <c r="F13" s="382">
        <f>+E13*(100-$F$2)/100</f>
        <v>0</v>
      </c>
      <c r="G13" s="376" t="str">
        <f>cennik!$B$2</f>
        <v>EUR</v>
      </c>
    </row>
    <row r="14" spans="1:7">
      <c r="A14" s="376">
        <v>89032</v>
      </c>
      <c r="B14" s="376" t="str">
        <f>VLOOKUP(A14,cennik!A:C,2,0)</f>
        <v>SEVROLL Single horné vedenie 2,35m strieborn</v>
      </c>
      <c r="C14" s="387"/>
      <c r="D14" s="382">
        <f>+VLOOKUP(A14,cennik!$A:$G,3,FALSE)</f>
        <v>22.802379999999999</v>
      </c>
      <c r="E14" s="382">
        <f>D14*C14</f>
        <v>0</v>
      </c>
      <c r="F14" s="382">
        <f>+E14*(100-$F$2)/100</f>
        <v>0</v>
      </c>
      <c r="G14" s="376" t="str">
        <f>cennik!$B$2</f>
        <v>EUR</v>
      </c>
    </row>
    <row r="15" spans="1:7">
      <c r="A15" s="376">
        <v>89035</v>
      </c>
      <c r="B15" s="376" t="str">
        <f>VLOOKUP(A15,cennik!A:C,2,0)</f>
        <v>SEVROLL-SINGLE HORNÉ VEDENIE 3 M strieborná</v>
      </c>
      <c r="C15" s="387"/>
      <c r="D15" s="382">
        <f>+VLOOKUP(A15,cennik!$A:$G,3,FALSE)</f>
        <v>29.117629999999998</v>
      </c>
      <c r="E15" s="382">
        <f>D15*C15</f>
        <v>0</v>
      </c>
      <c r="F15" s="382">
        <f>+E15*(100-$F$2)/100</f>
        <v>0</v>
      </c>
      <c r="G15" s="376" t="str">
        <f>cennik!$B$2</f>
        <v>EUR</v>
      </c>
    </row>
    <row r="16" spans="1:7">
      <c r="C16" s="382"/>
      <c r="D16" s="382"/>
      <c r="E16" s="382"/>
      <c r="F16" s="382"/>
    </row>
    <row r="17" spans="1:7">
      <c r="D17" s="382"/>
      <c r="E17" s="382"/>
      <c r="F17" s="382"/>
    </row>
    <row r="18" spans="1:7">
      <c r="A18" s="376">
        <v>213609</v>
      </c>
      <c r="B18" s="376" t="str">
        <f>VLOOKUP(A18,cennik!A:C,2,0)</f>
        <v>SEVROLL Hide M spodné vedenie Hide M 3m stri</v>
      </c>
      <c r="C18" s="387"/>
      <c r="D18" s="382">
        <f>+VLOOKUP(A18,cennik!$A:$G,3,FALSE)</f>
        <v>9.6898099999999996</v>
      </c>
      <c r="E18" s="382">
        <f t="shared" ref="E18:E24" si="0">D18*C18</f>
        <v>0</v>
      </c>
      <c r="F18" s="382">
        <f t="shared" ref="F18:F24" si="1">+E18*(100-$F$2)/100</f>
        <v>0</v>
      </c>
      <c r="G18" s="376" t="str">
        <f>cennik!$B$2</f>
        <v>EUR</v>
      </c>
    </row>
    <row r="19" spans="1:7">
      <c r="A19" s="376">
        <v>197753</v>
      </c>
      <c r="B19" s="376" t="str">
        <f>VLOOKUP(A19,cennik!A:C,2,0)</f>
        <v>SEVROLL Hide N spodné vedenie Hide N 3m stri</v>
      </c>
      <c r="C19" s="387"/>
      <c r="D19" s="382">
        <f>+VLOOKUP(A19,cennik!$A:$G,3,FALSE)</f>
        <v>13.2813</v>
      </c>
      <c r="E19" s="382">
        <f t="shared" si="0"/>
        <v>0</v>
      </c>
      <c r="F19" s="382">
        <f t="shared" si="1"/>
        <v>0</v>
      </c>
      <c r="G19" s="376" t="str">
        <f>cennik!$B$2</f>
        <v>EUR</v>
      </c>
    </row>
    <row r="20" spans="1:7">
      <c r="A20" s="376">
        <v>223405</v>
      </c>
      <c r="B20" s="376" t="str">
        <f>VLOOKUP(A20,cennik!A:C,2,0)</f>
        <v>SEVROLL dolné vedenie Hide M 3m oliva</v>
      </c>
      <c r="C20" s="387"/>
      <c r="D20" s="382">
        <f>+VLOOKUP(A20,cennik!$A:$G,3,FALSE)</f>
        <v>10.629860000000001</v>
      </c>
      <c r="E20" s="382">
        <f t="shared" si="0"/>
        <v>0</v>
      </c>
      <c r="F20" s="382">
        <f t="shared" si="1"/>
        <v>0</v>
      </c>
      <c r="G20" s="376" t="str">
        <f>cennik!$B$2</f>
        <v>EUR</v>
      </c>
    </row>
    <row r="21" spans="1:7">
      <c r="A21" s="376">
        <v>197755</v>
      </c>
      <c r="B21" s="376" t="str">
        <f>VLOOKUP(A21,cennik!A:C,2,0)</f>
        <v>SEVROLL - HIDE N dolné vedenie 3M OLIVA</v>
      </c>
      <c r="C21" s="387"/>
      <c r="D21" s="382">
        <f>+VLOOKUP(A21,cennik!$A:$G,3,FALSE)</f>
        <v>14.631130000000001</v>
      </c>
      <c r="E21" s="382">
        <f t="shared" si="0"/>
        <v>0</v>
      </c>
      <c r="F21" s="382">
        <f t="shared" si="1"/>
        <v>0</v>
      </c>
      <c r="G21" s="376" t="str">
        <f>cennik!$B$2</f>
        <v>EUR</v>
      </c>
    </row>
    <row r="22" spans="1:7">
      <c r="A22" s="376">
        <v>279078</v>
      </c>
      <c r="B22" s="376" t="str">
        <f>VLOOKUP(A22,cennik!A:C,2,0)</f>
        <v>SEVROLL dolné vedenie Hide N 6m oliva</v>
      </c>
      <c r="C22" s="387"/>
      <c r="D22" s="382">
        <f>+VLOOKUP(A22,cennik!$A:$G,3,FALSE)</f>
        <v>29.21405</v>
      </c>
      <c r="E22" s="382">
        <f t="shared" si="0"/>
        <v>0</v>
      </c>
      <c r="F22" s="382">
        <f t="shared" si="1"/>
        <v>0</v>
      </c>
      <c r="G22" s="376" t="str">
        <f>cennik!$B$2</f>
        <v>EUR</v>
      </c>
    </row>
    <row r="23" spans="1:7">
      <c r="A23" s="376">
        <v>212613</v>
      </c>
      <c r="B23" s="376" t="str">
        <f>VLOOKUP(A23,cennik!A:C,2,0)</f>
        <v>SEVROLL koncovka k lište Hide N strieborná</v>
      </c>
      <c r="C23" s="387"/>
      <c r="D23" s="382">
        <f>+VLOOKUP(A23,cennik!$A:$G,3,FALSE)</f>
        <v>5.5198200000000002</v>
      </c>
      <c r="E23" s="382">
        <f t="shared" si="0"/>
        <v>0</v>
      </c>
      <c r="F23" s="382">
        <f t="shared" si="1"/>
        <v>0</v>
      </c>
      <c r="G23" s="376" t="str">
        <f>cennik!$B$2</f>
        <v>EUR</v>
      </c>
    </row>
    <row r="24" spans="1:7">
      <c r="A24" s="376">
        <v>212616</v>
      </c>
      <c r="B24" s="376" t="str">
        <f>VLOOKUP(A24,cennik!A:C,2,0)</f>
        <v>SEVROLL brzda k lište Hide N a M</v>
      </c>
      <c r="C24" s="387"/>
      <c r="D24" s="382">
        <f>+VLOOKUP(A24,cennik!$A:$G,3,FALSE)</f>
        <v>2.6273399999999998</v>
      </c>
      <c r="E24" s="382">
        <f t="shared" si="0"/>
        <v>0</v>
      </c>
      <c r="F24" s="382">
        <f t="shared" si="1"/>
        <v>0</v>
      </c>
      <c r="G24" s="376" t="str">
        <f>cennik!$B$2</f>
        <v>EUR</v>
      </c>
    </row>
    <row r="25" spans="1:7">
      <c r="D25" s="382"/>
      <c r="E25" s="382"/>
      <c r="F25" s="382"/>
    </row>
    <row r="26" spans="1:7">
      <c r="D26" s="382"/>
      <c r="E26" s="382"/>
      <c r="F26" s="382"/>
    </row>
    <row r="27" spans="1:7">
      <c r="A27" s="376">
        <v>84192</v>
      </c>
      <c r="B27" s="376" t="str">
        <f>VLOOKUP(A27,cennik!A:C,2,0)</f>
        <v>SEVROLL-SMART SPODNÉ VEDENIE 1,7M STRIE.</v>
      </c>
      <c r="C27" s="387"/>
      <c r="D27" s="382">
        <f>+VLOOKUP(A27,cennik!$A:$G,3,FALSE)</f>
        <v>4.0012600000000003</v>
      </c>
      <c r="E27" s="382">
        <f>D27*C27</f>
        <v>0</v>
      </c>
      <c r="F27" s="382">
        <f>+E27*(100-$F$2)/100</f>
        <v>0</v>
      </c>
      <c r="G27" s="376" t="str">
        <f>cennik!$B$2</f>
        <v>EUR</v>
      </c>
    </row>
    <row r="28" spans="1:7">
      <c r="A28" s="376">
        <v>84195</v>
      </c>
      <c r="B28" s="376" t="str">
        <f>VLOOKUP(A28,cennik!A:C,2,0)</f>
        <v>SEVROLL-SMART SPODNÉ VEDENIE 2,35M STRIE</v>
      </c>
      <c r="C28" s="387"/>
      <c r="D28" s="382">
        <f>+VLOOKUP(A28,cennik!$A:$G,3,FALSE)</f>
        <v>5.4957099999999999</v>
      </c>
      <c r="E28" s="382">
        <f>D28*C28</f>
        <v>0</v>
      </c>
      <c r="F28" s="382">
        <f>+E28*(100-$F$2)/100</f>
        <v>0</v>
      </c>
      <c r="G28" s="376" t="str">
        <f>cennik!$B$2</f>
        <v>EUR</v>
      </c>
    </row>
    <row r="29" spans="1:7">
      <c r="A29" s="376">
        <v>84198</v>
      </c>
      <c r="B29" s="376" t="str">
        <f>VLOOKUP(A29,cennik!A:C,2,0)</f>
        <v>SEVROLL-SMART SPODNÉ VEDENIE 3M STRIE.</v>
      </c>
      <c r="C29" s="387"/>
      <c r="D29" s="382">
        <f>+VLOOKUP(A29,cennik!$A:$G,3,FALSE)</f>
        <v>6.9660599999999997</v>
      </c>
      <c r="E29" s="382">
        <f>D29*C29</f>
        <v>0</v>
      </c>
      <c r="F29" s="382">
        <f>+E29*(100-$F$2)/100</f>
        <v>0</v>
      </c>
      <c r="G29" s="376" t="str">
        <f>cennik!$B$2</f>
        <v>EUR</v>
      </c>
    </row>
    <row r="30" spans="1:7">
      <c r="C30" s="24"/>
      <c r="D30" s="382"/>
      <c r="E30" s="382"/>
      <c r="F30" s="382"/>
    </row>
    <row r="31" spans="1:7">
      <c r="C31" s="24"/>
      <c r="D31" s="382"/>
      <c r="E31" s="382"/>
      <c r="F31" s="382"/>
    </row>
    <row r="32" spans="1:7">
      <c r="A32" s="379" t="str">
        <f>texty!A238</f>
        <v> Ozdobné nalepovacie lišty</v>
      </c>
      <c r="C32" s="24"/>
      <c r="D32" s="382"/>
      <c r="E32" s="382"/>
      <c r="F32" s="382"/>
    </row>
    <row r="33" spans="1:7">
      <c r="A33" s="376">
        <v>135157</v>
      </c>
      <c r="B33" s="376" t="str">
        <f>VLOOKUP(A33,cennik!A:C,2,0)</f>
        <v>SEVROLL okrasná lišta S10 3m oliva</v>
      </c>
      <c r="C33" s="387"/>
      <c r="D33" s="382">
        <f>+VLOOKUP(A33,cennik!$A:$G,3,FALSE)</f>
        <v>4.6279700000000004</v>
      </c>
      <c r="E33" s="382">
        <f>D33*C33</f>
        <v>0</v>
      </c>
      <c r="F33" s="382">
        <f>+E33*(100-$F$2)/100</f>
        <v>0</v>
      </c>
      <c r="G33" s="376" t="str">
        <f>cennik!$B$2</f>
        <v>EUR</v>
      </c>
    </row>
    <row r="34" spans="1:7">
      <c r="A34" s="376">
        <v>135156</v>
      </c>
      <c r="B34" s="376" t="str">
        <f>VLOOKUP(A34,cennik!A:C,2,0)</f>
        <v>SEVROLL okrasná lišta S10 3m strieborná</v>
      </c>
      <c r="C34" s="387"/>
      <c r="D34" s="382">
        <f>+VLOOKUP(A34,cennik!$A:$G,3,FALSE)</f>
        <v>3.80843</v>
      </c>
      <c r="E34" s="382">
        <f t="shared" ref="E34:E37" si="2">D34*C34</f>
        <v>0</v>
      </c>
      <c r="F34" s="382">
        <f t="shared" ref="F34:F37" si="3">+E34*(100-$F$2)/100</f>
        <v>0</v>
      </c>
      <c r="G34" s="376" t="str">
        <f>cennik!$B$2</f>
        <v>EUR</v>
      </c>
    </row>
    <row r="35" spans="1:7">
      <c r="C35" s="24"/>
      <c r="D35" s="382"/>
      <c r="E35" s="382"/>
      <c r="F35" s="382"/>
    </row>
    <row r="36" spans="1:7">
      <c r="A36" s="376">
        <v>135154</v>
      </c>
      <c r="B36" s="376" t="str">
        <f>VLOOKUP(A36,cennik!A:C,2,0)</f>
        <v>SEVROLL okrasná lišta S20 3m oliva</v>
      </c>
      <c r="C36" s="387"/>
      <c r="D36" s="382">
        <f>+VLOOKUP(A36,cennik!$A:$G,3,FALSE)</f>
        <v>7.5927600000000002</v>
      </c>
      <c r="E36" s="382">
        <f t="shared" si="2"/>
        <v>0</v>
      </c>
      <c r="F36" s="382">
        <f t="shared" si="3"/>
        <v>0</v>
      </c>
      <c r="G36" s="376" t="str">
        <f>cennik!$B$2</f>
        <v>EUR</v>
      </c>
    </row>
    <row r="37" spans="1:7">
      <c r="A37" s="376">
        <v>134300</v>
      </c>
      <c r="B37" s="376" t="str">
        <f>VLOOKUP(A37,cennik!A:C,2,0)</f>
        <v>SEVROLL okrasná lišta S20 3m strieborná</v>
      </c>
      <c r="C37" s="387"/>
      <c r="D37" s="382">
        <f>+VLOOKUP(A37,cennik!$A:$G,3,FALSE)</f>
        <v>6.8455399999999997</v>
      </c>
      <c r="E37" s="382">
        <f t="shared" si="2"/>
        <v>0</v>
      </c>
      <c r="F37" s="382">
        <f t="shared" si="3"/>
        <v>0</v>
      </c>
      <c r="G37" s="376" t="str">
        <f>cennik!$B$2</f>
        <v>EUR</v>
      </c>
    </row>
    <row r="38" spans="1:7">
      <c r="D38" s="382"/>
      <c r="E38" s="382"/>
      <c r="F38" s="382"/>
    </row>
    <row r="39" spans="1:7">
      <c r="D39" s="382"/>
      <c r="E39" s="382"/>
      <c r="F39" s="382"/>
    </row>
    <row r="40" spans="1:7">
      <c r="D40" s="382"/>
      <c r="E40" s="382"/>
      <c r="F40" s="382"/>
    </row>
    <row r="41" spans="1:7">
      <c r="D41" s="382"/>
      <c r="E41" s="382"/>
      <c r="F41" s="382"/>
    </row>
    <row r="42" spans="1:7">
      <c r="A42" s="379" t="str">
        <f>texty!$A$213</f>
        <v>OCHRANNÉ FÓLIE NA SKLENENÉ VÝPLNE</v>
      </c>
    </row>
    <row r="43" spans="1:7">
      <c r="A43" s="376">
        <v>203857</v>
      </c>
      <c r="B43" s="376" t="str">
        <f>VLOOKUP(A43,cennik!A:C,2,0)</f>
        <v>ANB-bezp.fólia 200mm/250m transparentná</v>
      </c>
      <c r="C43" s="387"/>
      <c r="D43" s="382" t="e">
        <f>+VLOOKUP(A43,cennik!$A:$G,3,FALSE)</f>
        <v>#N/A</v>
      </c>
      <c r="E43" s="382" t="e">
        <f>D43*C43</f>
        <v>#N/A</v>
      </c>
      <c r="F43" s="382" t="e">
        <f>+E43*(100-$F$2)/100</f>
        <v>#N/A</v>
      </c>
      <c r="G43" s="376" t="str">
        <f>cennik!$B$2</f>
        <v>EUR</v>
      </c>
    </row>
    <row r="44" spans="1:7">
      <c r="A44" s="376">
        <v>203859</v>
      </c>
      <c r="B44" s="376" t="str">
        <f>VLOOKUP(A44,cennik!A:C,2,0)</f>
        <v>ANB-bezp.fólia 200mm/250m transparentná</v>
      </c>
      <c r="C44" s="387"/>
      <c r="D44" s="382" t="e">
        <f>+VLOOKUP(A44,cennik!$A:$G,3,FALSE)</f>
        <v>#N/A</v>
      </c>
      <c r="E44" s="382" t="e">
        <f>D44*C44</f>
        <v>#N/A</v>
      </c>
      <c r="F44" s="382" t="e">
        <f>+E44*(100-$F$2)/100</f>
        <v>#N/A</v>
      </c>
      <c r="G44" s="376" t="str">
        <f>cennik!$B$2</f>
        <v>EUR</v>
      </c>
    </row>
    <row r="45" spans="1:7">
      <c r="A45" s="376">
        <v>203860</v>
      </c>
      <c r="B45" s="376" t="str">
        <f>VLOOKUP(A45,cennik!A:C,2,0)</f>
        <v>ANB-bezp.fólia 300mm/250m transparentná</v>
      </c>
      <c r="C45" s="387"/>
      <c r="D45" s="382" t="e">
        <f>+VLOOKUP(A45,cennik!$A:$G,3,FALSE)</f>
        <v>#N/A</v>
      </c>
      <c r="E45" s="382" t="e">
        <f>D45*C45</f>
        <v>#N/A</v>
      </c>
      <c r="F45" s="382" t="e">
        <f>+E45*(100-$F$2)/100</f>
        <v>#N/A</v>
      </c>
      <c r="G45" s="376" t="str">
        <f>cennik!$B$2</f>
        <v>EUR</v>
      </c>
    </row>
    <row r="46" spans="1:7">
      <c r="A46" s="376">
        <v>203861</v>
      </c>
      <c r="B46" s="376" t="str">
        <f>VLOOKUP(A46,cennik!A:C,2,0)</f>
        <v>ANB-bezp.fólia 400transparentná</v>
      </c>
      <c r="C46" s="387"/>
      <c r="D46" s="382" t="e">
        <f>+VLOOKUP(A46,cennik!$A:$G,3,FALSE)</f>
        <v>#N/A</v>
      </c>
      <c r="E46" s="382" t="e">
        <f>D46*C46</f>
        <v>#N/A</v>
      </c>
      <c r="F46" s="382" t="e">
        <f>+E46*(100-$F$2)/100</f>
        <v>#N/A</v>
      </c>
      <c r="G46" s="376" t="str">
        <f>cennik!$B$2</f>
        <v>EUR</v>
      </c>
    </row>
    <row r="47" spans="1:7">
      <c r="A47" s="376">
        <v>203862</v>
      </c>
      <c r="B47" s="376" t="str">
        <f>VLOOKUP(A47,cennik!A:C,2,0)</f>
        <v>ANB-bezp.fólia 500mm/250m transparentná</v>
      </c>
      <c r="C47" s="387"/>
      <c r="D47" s="382" t="e">
        <f>+VLOOKUP(A47,cennik!$A:$G,3,FALSE)</f>
        <v>#N/A</v>
      </c>
      <c r="E47" s="382" t="e">
        <f>D47*C47</f>
        <v>#N/A</v>
      </c>
      <c r="F47" s="382" t="e">
        <f>+E47*(100-$F$2)/100</f>
        <v>#N/A</v>
      </c>
      <c r="G47" s="376" t="str">
        <f>cennik!$B$2</f>
        <v>EUR</v>
      </c>
    </row>
    <row r="48" spans="1:7"/>
    <row r="49" spans="1:6"/>
    <row r="58" spans="1:6" ht="14" thickBot="1"/>
    <row r="59" spans="1:6" ht="14" thickBot="1">
      <c r="C59" s="385" t="str">
        <f>texty!$A$15</f>
        <v>CELKOM  (bez DPH)</v>
      </c>
      <c r="D59" s="383"/>
      <c r="E59" s="383"/>
      <c r="F59" s="386" t="e">
        <f>SUM(F4:F47)</f>
        <v>#N/A</v>
      </c>
    </row>
    <row r="60" spans="1:6"/>
    <row r="61" spans="1:6">
      <c r="A61" s="379" t="str">
        <f>texty!A216</f>
        <v>LAKOVANIE PROFILOV</v>
      </c>
    </row>
    <row r="62" spans="1:6">
      <c r="A62" s="678" t="str">
        <f>texty!A217</f>
        <v>možnosť nalakovať do akéhokoľvek odtieňa RAL</v>
      </c>
      <c r="B62" s="678"/>
    </row>
    <row r="63" spans="1:6">
      <c r="A63" s="678" t="str">
        <f>texty!A218</f>
        <v> voľba lesk / mat (pri objednávke je nutná špecifikácia)</v>
      </c>
      <c r="B63" s="678"/>
    </row>
    <row r="64" spans="1:6">
      <c r="A64" s="678" t="str">
        <f>texty!A219</f>
        <v>obmedzenie na max dĺžku 3,85m</v>
      </c>
      <c r="B64" s="678"/>
    </row>
    <row r="65" spans="1:6"/>
    <row r="66" spans="1:6"/>
    <row r="67" spans="1:6"/>
    <row r="68" spans="1:6"/>
    <row r="69" spans="1:6"/>
    <row r="70" spans="1:6"/>
    <row r="71" spans="1:6"/>
    <row r="72" spans="1:6"/>
    <row r="73" spans="1:6"/>
    <row r="74" spans="1:6"/>
    <row r="75" spans="1:6"/>
    <row r="76" spans="1:6" ht="15">
      <c r="A76" s="380">
        <v>180245</v>
      </c>
      <c r="B76" s="331" t="str">
        <f>+VLOOKUP(A76,cennik!$A:$G,2,FALSE)</f>
        <v>Vzorkovník úchyt.líšt 2017 šanón PREDAJ</v>
      </c>
      <c r="C76" s="387"/>
      <c r="D76" s="382" t="e">
        <f>+VLOOKUP(A76,cennik!$A:$G,3,FALSE)</f>
        <v>#N/A</v>
      </c>
      <c r="E76" s="331"/>
      <c r="F76" s="382">
        <f>+E76*(100-$F$2)/100</f>
        <v>0</v>
      </c>
    </row>
    <row r="77" spans="1:6" ht="16" thickBot="1">
      <c r="A77" s="380"/>
      <c r="B77" s="331"/>
      <c r="C77" s="380"/>
      <c r="D77" s="330"/>
      <c r="E77" s="380"/>
    </row>
    <row r="78" spans="1:6" ht="14" thickBot="1">
      <c r="C78" s="385" t="str">
        <f>texty!$A$15</f>
        <v>CELKOM  (bez DPH)</v>
      </c>
      <c r="D78" s="383"/>
      <c r="E78" s="383"/>
      <c r="F78" s="386" t="e">
        <f>F76+F59</f>
        <v>#N/A</v>
      </c>
    </row>
    <row r="79" spans="1:6"/>
    <row r="80" spans="1:6"/>
    <row r="81"/>
    <row r="82"/>
    <row r="83"/>
    <row r="84"/>
    <row r="85"/>
    <row r="86"/>
    <row r="87"/>
    <row r="88"/>
    <row r="89"/>
  </sheetData>
  <sheetProtection algorithmName="SHA-512" hashValue="1r/0PTdSDM3apHPXI3YLCgFEnQWbME3IjZg0dB1VH96ZuVqacPjm1mL5kFHgf3rnUVsd61ujhT5DhoICY2IoFA==" saltValue="bpclMqzf+Lz0uRXkR1LZGg==" spinCount="100000" sheet="1" objects="1" scenario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180245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8.33203125" style="21" customWidth="1"/>
    <col min="2" max="2" width="15.83203125" style="21" customWidth="1"/>
    <col min="3" max="3" width="37.5" style="21" customWidth="1"/>
    <col min="4" max="7" width="14.6640625" style="21" customWidth="1"/>
    <col min="8" max="8" width="4.83203125" style="21" customWidth="1"/>
    <col min="9" max="9" width="24.83203125" style="24" customWidth="1"/>
    <col min="10" max="10" width="4.83203125" style="6" customWidth="1"/>
    <col min="11" max="11" width="11.33203125" style="6" hidden="1" customWidth="1"/>
    <col min="12" max="12" width="14.6640625" style="5" hidden="1" customWidth="1"/>
    <col min="13" max="13" width="11.6640625" style="5" hidden="1" customWidth="1"/>
    <col min="14" max="14" width="8.83203125" style="5" hidden="1" customWidth="1"/>
    <col min="15" max="15" width="7.33203125" style="5" hidden="1" customWidth="1"/>
    <col min="16" max="16" width="9.1640625" style="5" hidden="1" customWidth="1"/>
    <col min="17" max="17" width="7" style="5" hidden="1" customWidth="1"/>
    <col min="18" max="18" width="10.5" style="5" hidden="1" customWidth="1"/>
    <col min="19" max="19" width="12" style="5" hidden="1" customWidth="1"/>
    <col min="20" max="20" width="11.5" style="5" hidden="1" customWidth="1"/>
    <col min="21" max="21" width="5.1640625" style="5" hidden="1" customWidth="1"/>
    <col min="22" max="23" width="5.6640625" style="5" hidden="1" customWidth="1"/>
    <col min="24" max="25" width="4.5" style="5" hidden="1" customWidth="1"/>
    <col min="26" max="26" width="11.5" style="5" hidden="1" customWidth="1"/>
    <col min="27" max="16384" width="9.1640625" style="5" hidden="1"/>
  </cols>
  <sheetData>
    <row r="1" spans="1:22" ht="13.5" customHeight="1" thickBot="1">
      <c r="A1" s="432"/>
      <c r="B1" s="17"/>
      <c r="C1" s="17"/>
      <c r="D1" s="17"/>
      <c r="E1" s="17"/>
      <c r="F1" s="17"/>
      <c r="G1" s="24"/>
      <c r="H1" s="24"/>
      <c r="K1" s="6">
        <v>2</v>
      </c>
      <c r="L1" s="5">
        <v>-9.5</v>
      </c>
    </row>
    <row r="2" spans="1:22" ht="18.75" customHeight="1">
      <c r="A2" s="538" t="s">
        <v>1189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K2" s="6">
        <v>3</v>
      </c>
    </row>
    <row r="3" spans="1:22" ht="29" thickBot="1">
      <c r="A3" s="539" t="str">
        <f>CONCATENATE(texty!A243," ",5,".",50)</f>
        <v>katalóg kovania 2018 str. 5.50</v>
      </c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435" t="str">
        <f>texty!A36</f>
        <v>počet dverí:</v>
      </c>
      <c r="E3" s="435" t="str">
        <f>texty!A37</f>
        <v>farba</v>
      </c>
      <c r="F3" s="434" t="str">
        <f>texty!B38</f>
        <v>typ spodního vedení</v>
      </c>
      <c r="G3" s="24"/>
      <c r="H3" s="24"/>
    </row>
    <row r="4" spans="1:22" ht="18" customHeight="1">
      <c r="A4" s="437" t="str">
        <f>texty!A70</f>
        <v>VNÚTORNÝ ROZMER SKRINE:</v>
      </c>
      <c r="B4" s="470"/>
      <c r="C4" s="470"/>
      <c r="D4" s="471">
        <v>2</v>
      </c>
      <c r="E4" s="471" t="s">
        <v>416</v>
      </c>
      <c r="F4" s="472" t="s">
        <v>2884</v>
      </c>
      <c r="G4" s="653"/>
      <c r="H4" s="653"/>
      <c r="I4" s="653"/>
      <c r="K4" s="8">
        <f>IF(C4&lt;1701,1700,IF(C4&lt;2351,2350,IF(C4&lt;3001,3000,IF(C4&lt;4051,4050,6000))))</f>
        <v>1700</v>
      </c>
      <c r="M4" s="8">
        <f>IF(C4&lt;1701,1700,IF(C4&lt;2351,2350,IF(C4&lt;3001,3000,IF(C4&lt;4051,4050,6000))))</f>
        <v>1700</v>
      </c>
    </row>
    <row r="5" spans="1:22" ht="18" customHeight="1">
      <c r="A5" s="437"/>
      <c r="B5" s="649" t="str">
        <f>texty!A45</f>
        <v>vypíšte týchto 5 políčok !!! Údaje v mm</v>
      </c>
      <c r="C5" s="649"/>
      <c r="D5" s="649"/>
      <c r="E5" s="649"/>
      <c r="F5" s="649"/>
      <c r="G5" s="653"/>
      <c r="H5" s="653"/>
      <c r="I5" s="653"/>
      <c r="K5" s="3" t="str">
        <f>CONCATENATE(K4,"-",E4)</f>
        <v xml:space="preserve">1700-strieborná </v>
      </c>
      <c r="M5" s="3" t="str">
        <f>CONCATENATE(M4,"-",E4,", ",F4)</f>
        <v>1700-strieborná , Elegant II</v>
      </c>
      <c r="S5" s="5" t="e">
        <f>#REF!*3</f>
        <v>#REF!</v>
      </c>
    </row>
    <row r="6" spans="1:22" ht="18" customHeight="1">
      <c r="A6" s="437"/>
      <c r="B6" s="445" t="str">
        <f>IF(D4=4,texty!A227,"")</f>
        <v/>
      </c>
      <c r="D6" s="457">
        <v>3</v>
      </c>
      <c r="E6" s="17"/>
      <c r="F6" s="17"/>
      <c r="G6" s="653"/>
      <c r="H6" s="653"/>
      <c r="I6" s="653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438" t="str">
        <f>texty!A71</f>
        <v>krídlo dverí:</v>
      </c>
      <c r="B7" s="57">
        <f>+B4-40</f>
        <v>-40</v>
      </c>
      <c r="C7" s="59">
        <f>+((C4-3+(35*(D4-1)))/D4+IF(AND(D4=4,D6=2),L1,0))</f>
        <v>16</v>
      </c>
      <c r="D7" s="17"/>
      <c r="E7" s="17"/>
      <c r="F7" s="17"/>
      <c r="G7" s="448" t="str">
        <f>texty!$A$39</f>
        <v>V prípade použitia skla ako výplne</v>
      </c>
      <c r="H7" s="24"/>
      <c r="L7" s="6"/>
      <c r="O7" s="17">
        <f>IF(L11="jiné",M12,L11)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2" ht="12.75" customHeight="1">
      <c r="A8" s="438" t="str">
        <f>texty!A72</f>
        <v>rozmer výplne 10 mm:</v>
      </c>
      <c r="B8" s="57">
        <f>+B7-64</f>
        <v>-104</v>
      </c>
      <c r="C8" s="59">
        <f>+C7-36</f>
        <v>-20</v>
      </c>
      <c r="D8" s="17"/>
      <c r="E8" s="17"/>
      <c r="F8" s="17"/>
      <c r="G8" s="448" t="str">
        <f>texty!$A$40</f>
        <v>je treba použiť bezpečnostné sklo</v>
      </c>
      <c r="H8" s="24"/>
      <c r="L8" s="6" t="s">
        <v>73</v>
      </c>
      <c r="M8" s="5" t="s">
        <v>74</v>
      </c>
      <c r="O8" s="23" t="str">
        <f>CONCATENATE(O7,"-",E4)</f>
        <v xml:space="preserve">1700-strieborná </v>
      </c>
      <c r="P8" s="21"/>
      <c r="Q8" s="5">
        <v>1</v>
      </c>
      <c r="R8" s="164">
        <f>$C$10+5</f>
        <v>-32</v>
      </c>
      <c r="S8" s="5">
        <f>FLOOR(1700/R8,1)</f>
        <v>-54</v>
      </c>
      <c r="T8" s="5">
        <f>FLOOR(2350/R8,1)</f>
        <v>-74</v>
      </c>
      <c r="U8" s="5">
        <f>FLOOR(3000/R8,1)</f>
        <v>-94</v>
      </c>
    </row>
    <row r="9" spans="1:22" ht="12.75" customHeight="1">
      <c r="A9" s="438" t="str">
        <f>texty!A73</f>
        <v>rozmer zrkadla / skla</v>
      </c>
      <c r="B9" s="57">
        <f>+B8</f>
        <v>-104</v>
      </c>
      <c r="C9" s="59">
        <f>+C8-4</f>
        <v>-24</v>
      </c>
      <c r="D9" s="17"/>
      <c r="E9" s="17"/>
      <c r="F9" s="17"/>
      <c r="G9" s="448" t="str">
        <f>texty!$A$41</f>
        <v>alebo sklo zabezpečiť ochrannou fóliou</v>
      </c>
      <c r="H9" s="24"/>
      <c r="L9" s="37">
        <f>C10*D4</f>
        <v>-74</v>
      </c>
      <c r="M9" s="36">
        <f>(D4+1)*5</f>
        <v>15</v>
      </c>
      <c r="Q9" s="5">
        <v>2</v>
      </c>
      <c r="R9" s="164">
        <f t="shared" ref="R9:R14" si="0">R8+$C$10+5</f>
        <v>-64</v>
      </c>
      <c r="S9" s="5">
        <f>(1700-C10)*S17</f>
        <v>-1737</v>
      </c>
      <c r="T9" s="5">
        <f>(2350-C10)*T17</f>
        <v>-2387</v>
      </c>
      <c r="U9" s="5">
        <f>(3000-C10)*U17</f>
        <v>-3037</v>
      </c>
      <c r="V9" s="5" t="s">
        <v>651</v>
      </c>
    </row>
    <row r="10" spans="1:22" ht="12.75" customHeight="1">
      <c r="A10" s="438" t="str">
        <f>texty!A74</f>
        <v>dĺžka vodiacej a krycej lišty krídla</v>
      </c>
      <c r="B10" s="57"/>
      <c r="C10" s="60">
        <f>+C7-53</f>
        <v>-37</v>
      </c>
      <c r="D10" s="17"/>
      <c r="E10" s="17"/>
      <c r="F10" s="17"/>
      <c r="G10" s="449"/>
      <c r="H10" s="24"/>
      <c r="L10" s="5" t="s">
        <v>72</v>
      </c>
      <c r="O10" s="17" t="str">
        <f>IF(L11="jiné",M13,"")</f>
        <v/>
      </c>
      <c r="P10" s="21" t="str">
        <f>+E4</f>
        <v xml:space="preserve">strieborná </v>
      </c>
      <c r="Q10" s="5">
        <v>3</v>
      </c>
      <c r="R10" s="164">
        <f t="shared" si="0"/>
        <v>-96</v>
      </c>
    </row>
    <row r="11" spans="1:22" ht="12.75" customHeight="1">
      <c r="A11" s="438" t="str">
        <f>texty!A75</f>
        <v>Horný/spodný profil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 xml:space="preserve">-strieborná </v>
      </c>
      <c r="P11" s="21"/>
      <c r="Q11" s="5">
        <v>4</v>
      </c>
      <c r="R11" s="164">
        <f t="shared" si="0"/>
        <v>-128</v>
      </c>
    </row>
    <row r="12" spans="1:22" ht="12.75" customHeight="1">
      <c r="A12" s="438" t="str">
        <f>texty!A76</f>
        <v>úchytková lišta</v>
      </c>
      <c r="B12" s="502">
        <f>+B7</f>
        <v>-40</v>
      </c>
      <c r="C12" s="503"/>
      <c r="D12" s="17"/>
      <c r="E12" s="17"/>
      <c r="F12" s="17"/>
      <c r="G12" s="24"/>
      <c r="H12" s="24"/>
      <c r="J12" s="162"/>
      <c r="K12" s="162"/>
      <c r="L12" s="6">
        <f>C10*(D4-1)+(D4*5)</f>
        <v>-27</v>
      </c>
      <c r="M12" s="5">
        <f>IF(L12&lt;1700,1700,IF(L12&lt;2350,2350,IF(L12&lt;3000,3000,3000)))</f>
        <v>1700</v>
      </c>
      <c r="N12" s="163">
        <f>M12-L12</f>
        <v>1727</v>
      </c>
      <c r="O12" s="5">
        <f>IF((C10*2+10)&gt;3000,IF((C10+10)&gt;2350,3000,IF((C10+10)&gt;1700,2350,1700)),1700)</f>
        <v>1700</v>
      </c>
      <c r="P12" s="5">
        <f>IF((O12/(C10+5))&gt;3,3,IF((O12/(C10+5))&gt;2,2,1))</f>
        <v>1</v>
      </c>
      <c r="Q12" s="5">
        <v>5</v>
      </c>
      <c r="R12" s="164">
        <f t="shared" si="0"/>
        <v>-160</v>
      </c>
    </row>
    <row r="13" spans="1:22" ht="12.75" customHeight="1">
      <c r="A13" s="438" t="str">
        <f>texty!A77</f>
        <v>Dĺžka tesnenia na sklo na jednom krídle</v>
      </c>
      <c r="B13" s="65"/>
      <c r="C13" s="505">
        <f>ROUND(B9*2+C9*2,0)</f>
        <v>-256</v>
      </c>
      <c r="D13" s="17"/>
      <c r="E13" s="17"/>
      <c r="F13" s="17"/>
      <c r="G13" s="24"/>
      <c r="H13" s="24"/>
      <c r="L13" s="35">
        <f>C10+10</f>
        <v>-27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163">
        <f>M13-L13</f>
        <v>1727</v>
      </c>
      <c r="Q13" s="5">
        <v>6</v>
      </c>
      <c r="R13" s="164">
        <f t="shared" si="0"/>
        <v>-192</v>
      </c>
    </row>
    <row r="14" spans="1:22" ht="24" customHeight="1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L14" s="6"/>
      <c r="M14" s="5">
        <f>SUM(M12:M13)</f>
        <v>3400</v>
      </c>
      <c r="N14" s="5">
        <f>SUM(N12:N13)</f>
        <v>3454</v>
      </c>
      <c r="Q14" s="5">
        <v>7</v>
      </c>
      <c r="R14" s="164">
        <f t="shared" si="0"/>
        <v>-224</v>
      </c>
    </row>
    <row r="15" spans="1:22" ht="15" customHeight="1">
      <c r="A15" s="644"/>
      <c r="B15" s="644"/>
      <c r="C15" s="504"/>
      <c r="D15" s="17"/>
      <c r="E15" s="17"/>
      <c r="F15" s="17"/>
      <c r="G15" s="24"/>
      <c r="H15" s="24"/>
      <c r="L15" s="6"/>
      <c r="R15" s="164"/>
    </row>
    <row r="16" spans="1:22" ht="13">
      <c r="A16" s="436"/>
      <c r="B16" s="17"/>
      <c r="C16" s="504"/>
      <c r="D16" s="17"/>
      <c r="E16" s="17"/>
      <c r="F16" s="17"/>
      <c r="G16" s="24"/>
      <c r="H16" s="24"/>
      <c r="L16" s="6"/>
      <c r="R16" s="164"/>
    </row>
    <row r="17" spans="1:23" ht="12.75" customHeight="1">
      <c r="A17" s="5"/>
      <c r="B17" s="17"/>
      <c r="C17" s="447"/>
      <c r="D17" s="17"/>
      <c r="E17" s="17"/>
      <c r="F17" s="17"/>
      <c r="G17" s="24"/>
      <c r="H17" s="24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3" ht="12.75" customHeight="1">
      <c r="A18" s="436"/>
      <c r="B18" s="17"/>
      <c r="C18" s="447"/>
      <c r="D18" s="17"/>
      <c r="E18" s="17"/>
      <c r="F18" s="17"/>
      <c r="G18" s="24"/>
      <c r="H18" s="24"/>
      <c r="L18" s="6"/>
    </row>
    <row r="19" spans="1:23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6"/>
    </row>
    <row r="20" spans="1:23" ht="16.5" customHeight="1">
      <c r="A20" s="436"/>
      <c r="B20" s="5"/>
      <c r="C20" s="17"/>
      <c r="E20" s="17"/>
      <c r="F20" s="17"/>
      <c r="G20" s="24"/>
      <c r="H20" s="24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3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6"/>
      <c r="Q21" s="5">
        <v>1</v>
      </c>
      <c r="R21" s="5">
        <f>S8</f>
        <v>-54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3" ht="12.75" customHeight="1">
      <c r="A22" s="436"/>
      <c r="B22" s="17"/>
      <c r="C22" s="17"/>
      <c r="D22" s="17"/>
      <c r="E22" s="17"/>
      <c r="F22" s="17"/>
      <c r="G22" s="24"/>
      <c r="H22" s="24"/>
      <c r="I22" s="648"/>
      <c r="L22" s="3"/>
      <c r="Q22" s="5">
        <v>2</v>
      </c>
      <c r="R22" s="5">
        <f>T8</f>
        <v>-74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3" ht="12.75" customHeight="1">
      <c r="A23" s="436"/>
      <c r="B23" s="17"/>
      <c r="C23" s="17"/>
      <c r="D23" s="17"/>
      <c r="E23" s="17"/>
      <c r="F23" s="17"/>
      <c r="G23" s="24"/>
      <c r="H23" s="24"/>
      <c r="Q23" s="5">
        <v>3</v>
      </c>
      <c r="R23" s="5">
        <f>U8</f>
        <v>-94</v>
      </c>
      <c r="S23" s="5" t="str">
        <f>IF(R23&gt;=D4,IF(R22&gt;=D4,"",1),"")</f>
        <v/>
      </c>
      <c r="V23" s="168" t="str">
        <f>IF(S23=1,1,"")</f>
        <v/>
      </c>
    </row>
    <row r="24" spans="1:23" ht="12.75" customHeight="1">
      <c r="A24" s="436"/>
      <c r="B24" s="17"/>
      <c r="C24" s="17"/>
      <c r="D24" s="17"/>
      <c r="E24" s="17"/>
      <c r="F24" s="17"/>
      <c r="G24" s="24"/>
      <c r="H24" s="24"/>
      <c r="L24" s="5" t="str">
        <f>CONCATENATE(N24,"-",$P$7)</f>
        <v xml:space="preserve">1700-strieborná 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-128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3" ht="12.75" customHeight="1">
      <c r="A25" s="436"/>
      <c r="B25" s="17"/>
      <c r="D25" s="17"/>
      <c r="E25" s="17"/>
      <c r="F25" s="17"/>
      <c r="G25" s="452" t="str">
        <f>texty!$A$21</f>
        <v>partnerská zľava:</v>
      </c>
      <c r="H25" s="24"/>
      <c r="L25" s="5" t="str">
        <f>CONCATENATE(N25,"-",$P$7)</f>
        <v xml:space="preserve">2350-strieborná </v>
      </c>
      <c r="M25" s="6">
        <f>SUM(U21:U32)</f>
        <v>0</v>
      </c>
      <c r="N25" s="5">
        <v>2350</v>
      </c>
      <c r="Q25" s="5" t="s">
        <v>689</v>
      </c>
      <c r="R25" s="5">
        <f>T8+T8</f>
        <v>-148</v>
      </c>
      <c r="S25" s="5" t="str">
        <f>IF(R25&gt;=D4,IF(SUM(S21:S24)&gt;0,"",1),"")</f>
        <v/>
      </c>
      <c r="U25" s="168" t="str">
        <f>IF(S25=1,2,"")</f>
        <v/>
      </c>
    </row>
    <row r="26" spans="1:23" ht="12.75" customHeight="1">
      <c r="A26" s="441" t="str">
        <f>texty!A80</f>
        <v>Objednávacie kódy, ceny:</v>
      </c>
      <c r="B26" s="17"/>
      <c r="D26" s="17"/>
      <c r="E26" s="17"/>
      <c r="F26" s="17"/>
      <c r="G26" s="388">
        <f>profil!C15</f>
        <v>0</v>
      </c>
      <c r="H26" s="454" t="s">
        <v>70</v>
      </c>
      <c r="L26" s="5" t="str">
        <f>CONCATENATE(N26,"-",$P$7)</f>
        <v xml:space="preserve">3000-strieborná 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-148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3" ht="12.75" customHeight="1" thickBot="1">
      <c r="A27" s="436"/>
      <c r="B27" s="19" t="s">
        <v>3</v>
      </c>
      <c r="C27" s="20" t="str">
        <f>texty!$A$16</f>
        <v>názov</v>
      </c>
      <c r="D27" s="19" t="str">
        <f>texty!$A$17</f>
        <v>ks</v>
      </c>
      <c r="E27" s="19" t="str">
        <f>texty!$A$18</f>
        <v>cena/ks</v>
      </c>
      <c r="F27" s="19" t="str">
        <f>texty!$A$19</f>
        <v>cena celkom</v>
      </c>
      <c r="G27" s="20" t="str">
        <f>texty!$A$20</f>
        <v>celkom netto:</v>
      </c>
      <c r="H27" s="24"/>
      <c r="I27" s="20" t="str">
        <f>texty!A29</f>
        <v>Poznámka:</v>
      </c>
      <c r="K27" s="18" t="s">
        <v>1218</v>
      </c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-168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3" ht="12.75" customHeight="1" thickBot="1">
      <c r="A28" s="436" t="str">
        <f>texty!A81</f>
        <v>Horný profil:</v>
      </c>
      <c r="B28" s="16">
        <f>+VLOOKUP(K5,data!$C$176:$D$190,2,0)</f>
        <v>89106</v>
      </c>
      <c r="C28" s="25" t="str">
        <f>+VLOOKUP(B28,cennik!$A:$G,2,FALSE)</f>
        <v>SEVROLL Gemini horné vedenie 1,7m strieborná</v>
      </c>
      <c r="D28" s="17"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24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-188</v>
      </c>
      <c r="S28" s="5" t="str">
        <f>IF(R28&gt;=D4,IF(SUM(S21:S27)&gt;0,"",1),"")</f>
        <v/>
      </c>
      <c r="V28" s="168" t="str">
        <f>IF(S28=1,2,"")</f>
        <v/>
      </c>
      <c r="W28" s="166"/>
    </row>
    <row r="29" spans="1:23" ht="12.75" customHeight="1" thickBot="1">
      <c r="A29" s="436" t="str">
        <f>texty!A82</f>
        <v>spodný profil:</v>
      </c>
      <c r="B29" s="16">
        <f>+VLOOKUP(M5,data!$C$4:$D$73,2,0)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IF(B29=data!$D$63,0,+VLOOKUP(B29,cennik!$A$3:$G$907,3,FALSE))</f>
        <v>9.0389999999999997</v>
      </c>
      <c r="F29" s="92">
        <f>+E29*D29</f>
        <v>9.0389999999999997</v>
      </c>
      <c r="G29" s="93">
        <f t="shared" si="1"/>
        <v>9.0389999999999997</v>
      </c>
      <c r="H29" s="24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 xml:space="preserve">3000-strieborná 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-162</v>
      </c>
      <c r="S29" s="5" t="str">
        <f>IF(R29&gt;=D4,IF(SUM(S21:S28)&gt;0,"",1),"")</f>
        <v/>
      </c>
      <c r="T29" s="168" t="str">
        <f>IF(S29=1,3,"")</f>
        <v/>
      </c>
      <c r="W29" s="166"/>
    </row>
    <row r="30" spans="1:23" ht="12.75" customHeight="1">
      <c r="A30" s="436" t="str">
        <f>texty!A83</f>
        <v>krycí profil (maska):</v>
      </c>
      <c r="B30" s="16">
        <f>+VLOOKUP(M5,data!$C$90:$D$175,2,0)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>+E30*D30</f>
        <v>2.8683800000000002</v>
      </c>
      <c r="G30" s="93">
        <f t="shared" si="1"/>
        <v>2.8683800000000002</v>
      </c>
      <c r="H30" s="24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-202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3" ht="12.75" customHeight="1">
      <c r="A31" s="436" t="str">
        <f>texty!A84</f>
        <v>horné vozíky (sady)</v>
      </c>
      <c r="B31" s="16">
        <v>89265</v>
      </c>
      <c r="C31" s="25" t="str">
        <f>+VLOOKUP(B31,cennik!$A:$G,2,FALSE)</f>
        <v>SEVROLL horný vozík 10mm asymetr.(L+P)</v>
      </c>
      <c r="D31" s="17">
        <f>IF((D49+D50)&gt;D4,0,D4-(D49+D50))</f>
        <v>2</v>
      </c>
      <c r="E31" s="92">
        <f>+VLOOKUP(B31,cennik!$A:$G,3,FALSE)</f>
        <v>5.7608600000000001</v>
      </c>
      <c r="F31" s="92">
        <f t="shared" ref="F31:F39" si="2">+E31*D31</f>
        <v>11.52172</v>
      </c>
      <c r="G31" s="93">
        <f t="shared" si="1"/>
        <v>11.52172</v>
      </c>
      <c r="H31" s="24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-222</v>
      </c>
      <c r="S31" s="5" t="str">
        <f>IF(R31&gt;=D4,IF(SUM(S21:S30)&gt;0,"",1),"")</f>
        <v/>
      </c>
      <c r="U31" s="168" t="str">
        <f>IF(S31=1,3,"")</f>
        <v/>
      </c>
    </row>
    <row r="32" spans="1:23" ht="12.75" customHeight="1">
      <c r="A32" s="436" t="str">
        <f>texty!A85</f>
        <v>spodné vozíky (sada)</v>
      </c>
      <c r="B32" s="16">
        <f>IF(F4=M64,328321,229441)</f>
        <v>328321</v>
      </c>
      <c r="C32" s="25" t="str">
        <f>+VLOOKUP(B32,cennik!$A:$G,2,FALSE)</f>
        <v>SEV-spodní vozík WD10 V 2ks bez pozicionéru</v>
      </c>
      <c r="D32" s="17">
        <f>+D4</f>
        <v>2</v>
      </c>
      <c r="E32" s="92">
        <f>+VLOOKUP(B32,cennik!$A:$G,3,FALSE)</f>
        <v>6.1947299999999998</v>
      </c>
      <c r="F32" s="92">
        <f t="shared" si="2"/>
        <v>12.38946</v>
      </c>
      <c r="G32" s="93">
        <f t="shared" si="1"/>
        <v>12.38946</v>
      </c>
      <c r="H32" s="24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-242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6" ht="12.75" customHeight="1">
      <c r="A33" s="436" t="str">
        <f>texty!A89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24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</row>
    <row r="34" spans="1:16" ht="12.75" customHeight="1">
      <c r="A34" s="436" t="str">
        <f>texty!A91</f>
        <v>úchytková lišta</v>
      </c>
      <c r="B34" s="16">
        <f>+VLOOKUP(P7,data!$C$257:$D$259,2,0)</f>
        <v>98073</v>
      </c>
      <c r="C34" s="25" t="str">
        <f>+VLOOKUP(B34,cennik!$A:$G,2,FALSE)</f>
        <v>SEVROLL System 10 II úch.lišta 2,7m striebor</v>
      </c>
      <c r="D34" s="17">
        <f>IF(B12&lt;=1347,D4*2/2,D4*2)</f>
        <v>2</v>
      </c>
      <c r="E34" s="92">
        <f>+VLOOKUP(B34,cennik!$A:$G,3,FALSE)</f>
        <v>19.789380000000001</v>
      </c>
      <c r="F34" s="92">
        <f t="shared" si="2"/>
        <v>39.578760000000003</v>
      </c>
      <c r="G34" s="93">
        <f t="shared" si="1"/>
        <v>39.578760000000003</v>
      </c>
      <c r="H34" s="24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</row>
    <row r="35" spans="1:16" ht="12.75" customHeight="1">
      <c r="A35" s="436" t="str">
        <f>texty!A92</f>
        <v>spojovacia skrutka</v>
      </c>
      <c r="B35" s="16">
        <v>89244</v>
      </c>
      <c r="C35" s="25" t="str">
        <f>+VLOOKUP(B35,cennik!$A:$G,2,FALSE)</f>
        <v>SEVROLL šroubovrut 6,3*32 -Sevroll a Simple</v>
      </c>
      <c r="D35" s="17">
        <f>+D4*4</f>
        <v>8</v>
      </c>
      <c r="E35" s="92">
        <f>+VLOOKUP(B35,cennik!$A:$G,3,FALSE)</f>
        <v>0.14462</v>
      </c>
      <c r="F35" s="92">
        <f t="shared" si="2"/>
        <v>1.15696</v>
      </c>
      <c r="G35" s="93">
        <f t="shared" si="1"/>
        <v>1.15696</v>
      </c>
      <c r="H35" s="24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</row>
    <row r="36" spans="1:16" ht="12.75" customHeight="1">
      <c r="A36" s="436" t="str">
        <f>texty!A93</f>
        <v>horný profil rámu (vodiaca lišta)</v>
      </c>
      <c r="B36" s="16">
        <f>VLOOKUP(M29,data!C262:D276,2,0)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2"/>
        <v>0</v>
      </c>
      <c r="G36" s="93">
        <f t="shared" si="1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</row>
    <row r="37" spans="1:16" ht="12.75" customHeight="1">
      <c r="A37" s="436" t="str">
        <f>texty!A94</f>
        <v>horný profil rámu (vodiaca lišta)</v>
      </c>
      <c r="B37" s="24" t="str">
        <f>IF(M30="jiné","",VLOOKUP(M30,data!C262:D276,2,0))</f>
        <v/>
      </c>
      <c r="C37" s="460" t="str">
        <f>IF(M30="jiné",texty!$A$2,+VLOOKUP(B37,cennik!$A:$G,2,FALSE))</f>
        <v>druhá lišta nieje potrebná</v>
      </c>
      <c r="D37" s="65">
        <f>N30</f>
        <v>0</v>
      </c>
      <c r="E37" s="461">
        <f>IF(M30&lt;&gt;"jiné",IF(N26="jiné",0,+VLOOKUP(B37,cennik!$A:$G,3,FALSE)),0)</f>
        <v>0</v>
      </c>
      <c r="F37" s="92">
        <f t="shared" si="2"/>
        <v>0</v>
      </c>
      <c r="G37" s="93">
        <f t="shared" si="1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</row>
    <row r="38" spans="1:16" ht="12.75" customHeight="1">
      <c r="A38" s="436" t="str">
        <f>texty!A95</f>
        <v>horizontálny spodný profil rámu</v>
      </c>
      <c r="B38" s="16">
        <f>VLOOKUP(M29,data!C315:D326,2,0)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2"/>
        <v>0</v>
      </c>
      <c r="G38" s="93">
        <f t="shared" si="1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</row>
    <row r="39" spans="1:16" ht="12.75" customHeight="1">
      <c r="A39" s="436" t="str">
        <f>texty!A96</f>
        <v>horizontálny spodný profil rámu</v>
      </c>
      <c r="B39" s="24" t="str">
        <f>IF(M30="jiné","",VLOOKUP(M30,data!C315:D326,2,0))</f>
        <v/>
      </c>
      <c r="C39" s="25" t="str">
        <f>IF(M30="jiné",texty!$A$2,VLOOKUP(B39,cennik!$A:$G,2,FALSE))</f>
        <v>druhá lišta nieje potrebná</v>
      </c>
      <c r="D39" s="65">
        <f>N30</f>
        <v>0</v>
      </c>
      <c r="E39" s="461">
        <f>IF(M30&lt;&gt;"jiné",IF(N26="jiné",0,+VLOOKUP(B39,cennik!$A:$G,3,FALSE)),0)</f>
        <v>0</v>
      </c>
      <c r="F39" s="92">
        <f t="shared" si="2"/>
        <v>0</v>
      </c>
      <c r="G39" s="93">
        <f t="shared" si="1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</row>
    <row r="40" spans="1:16" ht="12.75" customHeight="1">
      <c r="E40" s="375"/>
      <c r="F40" s="375"/>
      <c r="G40" s="375"/>
      <c r="H40" s="24"/>
      <c r="I40" s="483" t="str">
        <f>IFERROR(IF((VLOOKUP(B40,cennik!A:L,12,0))="O",texty!$A$250,""),"")</f>
        <v/>
      </c>
      <c r="K40" s="196"/>
    </row>
    <row r="41" spans="1:16" ht="12.75" customHeight="1">
      <c r="A41" s="441" t="str">
        <f>texty!$A$66</f>
        <v>Voliteľné príslušenstvo:</v>
      </c>
      <c r="B41" s="16"/>
      <c r="D41" s="462" t="str">
        <f>texty!A33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K41" s="196"/>
    </row>
    <row r="42" spans="1:16" ht="12.75" customHeight="1">
      <c r="A42" s="436" t="str">
        <f>texty!A88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2">
        <f>+E42*D42</f>
        <v>0</v>
      </c>
      <c r="G42" s="93">
        <f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K42" s="196"/>
    </row>
    <row r="43" spans="1:16" ht="12.75" customHeight="1">
      <c r="A43" s="436" t="str">
        <f>texty!A86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387"/>
      <c r="E43" s="92">
        <f>+VLOOKUP(B43,cennik!$A:$G,3,FALSE)</f>
        <v>0.31335000000000002</v>
      </c>
      <c r="F43" s="92">
        <f>+E43*D43</f>
        <v>0</v>
      </c>
      <c r="G43" s="93">
        <f>+F43*(100-$G$26)/100</f>
        <v>0</v>
      </c>
      <c r="H43" s="24" t="str">
        <f>cennik!$B$2</f>
        <v>EUR</v>
      </c>
      <c r="I43" s="483" t="str">
        <f>IFERROR(IF((VLOOKUP(B43,cennik!A:L,12,0))="O",texty!$A$250,""),"")</f>
        <v/>
      </c>
      <c r="K43" s="196" t="str">
        <f>IF(D43&gt;0,IF(VLOOKUP(B43,cennik!A:L,12,FALSE)="O",1,""),"")</f>
        <v/>
      </c>
      <c r="L43" s="6"/>
      <c r="N43" s="165"/>
      <c r="P43" s="165"/>
    </row>
    <row r="44" spans="1:16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>+CEILING(D44,1)*E44</f>
        <v>0</v>
      </c>
      <c r="G44" s="93">
        <f t="shared" ref="G44:G55" si="3">+F44*(100-$G$26)/100</f>
        <v>0</v>
      </c>
      <c r="H44" s="24" t="str">
        <f>cennik!$B$2</f>
        <v>EUR</v>
      </c>
      <c r="I44" s="483" t="str">
        <f>IFERROR(IF((VLOOKUP(B44,cennik!A:L,12,0))="O",texty!$A$250,""),"")</f>
        <v/>
      </c>
      <c r="K44" s="196" t="str">
        <f>IF(D44&gt;0,IF(VLOOKUP(B44,cennik!A:L,12,FALSE)="O",1,""),"")</f>
        <v/>
      </c>
      <c r="L44" s="6"/>
      <c r="N44" s="165"/>
      <c r="P44" s="165"/>
    </row>
    <row r="45" spans="1:16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>+CEILING(D45,1)*E45</f>
        <v>0</v>
      </c>
      <c r="G45" s="93">
        <f t="shared" si="3"/>
        <v>0</v>
      </c>
      <c r="H45" s="24" t="str">
        <f>cennik!$B$2</f>
        <v>EUR</v>
      </c>
      <c r="I45" s="483" t="str">
        <f>IFERROR(IF((VLOOKUP(B45,cennik!A:L,12,0))="O",texty!$A$250,""),"")</f>
        <v/>
      </c>
      <c r="K45" s="196" t="str">
        <f>IF(D45&gt;0,IF(VLOOKUP(B45,cennik!A:L,12,FALSE)="O",1,""),"")</f>
        <v/>
      </c>
      <c r="L45" s="6"/>
    </row>
    <row r="46" spans="1:16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>+CEILING(D46,1)*E46</f>
        <v>0</v>
      </c>
      <c r="G46" s="93">
        <f t="shared" si="3"/>
        <v>0</v>
      </c>
      <c r="H46" s="24" t="str">
        <f>cennik!$B$2</f>
        <v>EUR</v>
      </c>
      <c r="I46" s="483" t="str">
        <f>IFERROR(IF((VLOOKUP(B46,cennik!A:L,12,0))="O",texty!$A$250,""),"")</f>
        <v/>
      </c>
      <c r="K46" s="196" t="str">
        <f>IF(D46&gt;0,IF(VLOOKUP(B46,cennik!A:L,12,FALSE)="O",1,""),"")</f>
        <v/>
      </c>
    </row>
    <row r="47" spans="1:16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>+CEILING(D47,1)*E47</f>
        <v>0</v>
      </c>
      <c r="G47" s="93">
        <f t="shared" si="3"/>
        <v>0</v>
      </c>
      <c r="H47" s="24" t="str">
        <f>cennik!$B$2</f>
        <v>EUR</v>
      </c>
      <c r="I47" s="483" t="str">
        <f>IFERROR(IF((VLOOKUP(B47,cennik!A:L,12,0))="O",texty!$A$250,""),"")</f>
        <v/>
      </c>
      <c r="K47" s="196" t="str">
        <f>IF(D47&gt;0,IF(VLOOKUP(B47,cennik!A:L,12,FALSE)="O",1,""),"")</f>
        <v/>
      </c>
    </row>
    <row r="48" spans="1:16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>+CEILING(D48,1)*E48</f>
        <v>0</v>
      </c>
      <c r="G48" s="93">
        <f t="shared" si="3"/>
        <v>0</v>
      </c>
      <c r="H48" s="24" t="str">
        <f>cennik!$B$2</f>
        <v>EUR</v>
      </c>
      <c r="I48" s="483" t="str">
        <f>IFERROR(IF((VLOOKUP(B48,cennik!A:L,12,0))="O",texty!$A$250,""),"")</f>
        <v/>
      </c>
      <c r="K48" s="196" t="str">
        <f>IF(D48&gt;0,IF(VLOOKUP(B48,cennik!A:L,12,FALSE)="O",1,""),"")</f>
        <v/>
      </c>
    </row>
    <row r="49" spans="1:13" ht="12.75" customHeight="1">
      <c r="A49" s="436" t="str">
        <f>texty!A97</f>
        <v>tlmič dorazu (pár) 25 kg</v>
      </c>
      <c r="B49" s="24">
        <v>227185</v>
      </c>
      <c r="C49" s="25" t="str">
        <f>+VLOOKUP(B49,cennik!$A:$G,2,FALSE)</f>
        <v>K-SEVROLL tlmič dorazu 10/18mm 14-25kg(L+P)</v>
      </c>
      <c r="D49" s="387"/>
      <c r="E49" s="92">
        <f>+VLOOKUP(B49,cennik!$A:$G,3,FALSE)</f>
        <v>0</v>
      </c>
      <c r="F49" s="92">
        <f t="shared" ref="F49:F55" si="4">+E49*D49</f>
        <v>0</v>
      </c>
      <c r="G49" s="93">
        <f t="shared" si="3"/>
        <v>0</v>
      </c>
      <c r="H49" s="24" t="str">
        <f>cennik!$B$2</f>
        <v>EUR</v>
      </c>
      <c r="I49" s="483" t="str">
        <f>IFERROR(IF((VLOOKUP(B49,cennik!A:L,12,0))="O",texty!$A$250,""),"")</f>
        <v/>
      </c>
      <c r="K49" s="196" t="str">
        <f>IF(D49&gt;0,IF(VLOOKUP(B49,cennik!A:L,12,FALSE)="O",1,""),"")</f>
        <v/>
      </c>
    </row>
    <row r="50" spans="1:13" ht="12.75" customHeight="1">
      <c r="A50" s="436" t="str">
        <f>texty!A98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387"/>
      <c r="E50" s="92">
        <f>+VLOOKUP(B50,cennik!$A:$G,3,FALSE)</f>
        <v>0</v>
      </c>
      <c r="F50" s="92">
        <f t="shared" si="4"/>
        <v>0</v>
      </c>
      <c r="G50" s="93">
        <f t="shared" si="3"/>
        <v>0</v>
      </c>
      <c r="H50" s="24" t="str">
        <f>cennik!$B$2</f>
        <v>EUR</v>
      </c>
      <c r="I50" s="483" t="str">
        <f>IFERROR(IF((VLOOKUP(B50,cennik!A:L,12,0))="O",texty!$A$250,""),"")</f>
        <v/>
      </c>
      <c r="K50" s="196" t="str">
        <f>IF(D50&gt;0,IF(VLOOKUP(B50,cennik!A:L,12,FALSE)="O",1,""),"")</f>
        <v/>
      </c>
    </row>
    <row r="51" spans="1:13" ht="12.75" customHeight="1">
      <c r="A51" s="436" t="str">
        <f>texty!A100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473"/>
      <c r="E51" s="92">
        <f>+VLOOKUP(B51,cennik!$A:$G,3,FALSE)</f>
        <v>17.52046</v>
      </c>
      <c r="F51" s="92">
        <f t="shared" si="4"/>
        <v>0</v>
      </c>
      <c r="G51" s="93">
        <f t="shared" si="3"/>
        <v>0</v>
      </c>
      <c r="H51" s="24" t="str">
        <f>cennik!$B$2</f>
        <v>EUR</v>
      </c>
      <c r="I51" s="483" t="str">
        <f>IFERROR(IF((VLOOKUP(B51,cennik!A:L,12,0))="O",texty!$A$250,""),"")</f>
        <v/>
      </c>
      <c r="K51" s="196" t="str">
        <f>IF(D51&gt;0,IF(VLOOKUP(B51,cennik!A:L,12,FALSE)="O",1,""),"")</f>
        <v/>
      </c>
    </row>
    <row r="52" spans="1:13" ht="12.75" customHeight="1">
      <c r="A52" s="436" t="str">
        <f>texty!A101</f>
        <v>spojovací profil H30-3metre</v>
      </c>
      <c r="B52" s="17">
        <f>+VLOOKUP(P7,data!C399:D401,2,0)</f>
        <v>89069</v>
      </c>
      <c r="C52" s="25" t="str">
        <f>IF($B$52=data!$D$54,texty!$A$239,+VLOOKUP($B$52,cennik!$A$3:$G$907,2,FALSE))</f>
        <v>SEVROLL-253S-SPOJ.LIŠTA H-30mm STR 3m</v>
      </c>
      <c r="D52" s="473"/>
      <c r="E52" s="92">
        <f>IF(B52=data!$D$63,0,+VLOOKUP(B52,cennik!$A$3:$G$907,3,FALSE))</f>
        <v>26.594049999999999</v>
      </c>
      <c r="F52" s="92">
        <f t="shared" si="4"/>
        <v>0</v>
      </c>
      <c r="G52" s="93">
        <f>+F52*(100-$G$26)/100</f>
        <v>0</v>
      </c>
      <c r="H52" s="24" t="str">
        <f>cennik!$B$2</f>
        <v>EUR</v>
      </c>
      <c r="I52" s="483" t="str">
        <f>IFERROR(IF((VLOOKUP(B52,cennik!A:L,12,0))="O",texty!$A$250,""),"")</f>
        <v/>
      </c>
      <c r="K52" s="196" t="str">
        <f>IF(D52&gt;0,IF(VLOOKUP(B52,cennik!A:L,12,FALSE)="O",1,""),"")</f>
        <v/>
      </c>
    </row>
    <row r="53" spans="1:13" ht="12.75" customHeight="1">
      <c r="A53" s="436" t="str">
        <f>texty!A92</f>
        <v>spojovacia skrutka</v>
      </c>
      <c r="B53" s="16">
        <v>89244</v>
      </c>
      <c r="C53" s="25" t="str">
        <f>+VLOOKUP(B53,cennik!$A:$G,2,FALSE)</f>
        <v>SEVROLL šroubovrut 6,3*32 -Sevroll a Simple</v>
      </c>
      <c r="D53" s="473"/>
      <c r="E53" s="92">
        <f>+VLOOKUP(B53,cennik!$A:$G,3,FALSE)</f>
        <v>0.14462</v>
      </c>
      <c r="F53" s="92">
        <f t="shared" si="4"/>
        <v>0</v>
      </c>
      <c r="G53" s="93">
        <f>+F53*(100-$G$26)/100</f>
        <v>0</v>
      </c>
      <c r="H53" s="24" t="str">
        <f>cennik!$B$2</f>
        <v>EUR</v>
      </c>
      <c r="I53" s="483" t="str">
        <f>IFERROR(IF((VLOOKUP(B53,cennik!A:L,12,0))="O",texty!$A$250,""),"")</f>
        <v/>
      </c>
      <c r="K53" s="196" t="str">
        <f>IF(D53&gt;0,IF(VLOOKUP(B53,cennik!A:L,12,FALSE)="O",1,""),"")</f>
        <v/>
      </c>
    </row>
    <row r="54" spans="1:13" ht="12.75" customHeight="1">
      <c r="A54" s="436" t="str">
        <f>texty!A240</f>
        <v>zámok posuvných dverí</v>
      </c>
      <c r="B54" s="17">
        <v>216363</v>
      </c>
      <c r="C54" s="25" t="str">
        <f>+VLOOKUP(B54,cennik!$A:$G,2,FALSE)</f>
        <v>SEVROLL zámok na posuvné dvere 18 mm</v>
      </c>
      <c r="D54" s="473"/>
      <c r="E54" s="92">
        <f>+VLOOKUP(B54,cennik!$A:$G,3,FALSE)</f>
        <v>17.186150000000001</v>
      </c>
      <c r="F54" s="92">
        <f t="shared" si="4"/>
        <v>0</v>
      </c>
      <c r="G54" s="93">
        <f t="shared" si="3"/>
        <v>0</v>
      </c>
      <c r="H54" s="24" t="str">
        <f>cennik!$B$2</f>
        <v>EUR</v>
      </c>
      <c r="I54" s="483" t="str">
        <f>IFERROR(IF((VLOOKUP(B54,cennik!A:L,12,0))="O",texty!$A$250,""),"")</f>
        <v/>
      </c>
      <c r="K54" s="196" t="str">
        <f>IF(D54&gt;0,IF(VLOOKUP(B54,cennik!A:L,12,FALSE)="O",1,""),"")</f>
        <v/>
      </c>
    </row>
    <row r="55" spans="1:13" ht="12.75" customHeight="1">
      <c r="A55" s="436" t="str">
        <f>texty!A90</f>
        <v>protiprachový kartáč</v>
      </c>
      <c r="B55" s="17">
        <v>95946</v>
      </c>
      <c r="C55" s="25" t="str">
        <f>+VLOOKUP(B55,cennik!$A:$G,2,FALSE)</f>
        <v>SEVROLL protiprach.kartáč zásuvný 4,8x13mm</v>
      </c>
      <c r="D55" s="473"/>
      <c r="E55" s="92">
        <f>+VLOOKUP(B55,cennik!$A:$G,3,FALSE)</f>
        <v>0.16506999999999999</v>
      </c>
      <c r="F55" s="92">
        <f t="shared" si="4"/>
        <v>0</v>
      </c>
      <c r="G55" s="93">
        <f t="shared" si="3"/>
        <v>0</v>
      </c>
      <c r="H55" s="24" t="str">
        <f>cennik!$B$2</f>
        <v>EUR</v>
      </c>
      <c r="I55" s="483" t="str">
        <f>IFERROR(IF((VLOOKUP(B55,cennik!A:L,12,0))="O",texty!$A$250,""),"")</f>
        <v/>
      </c>
      <c r="K55" s="196" t="str">
        <f>IF(D55&gt;0,IF(VLOOKUP(B55,cennik!A:L,12,FALSE)="O",1,""),"")</f>
        <v/>
      </c>
    </row>
    <row r="56" spans="1:13" ht="12.75" customHeight="1">
      <c r="A56" s="443" t="str">
        <f>CONCATENATE(texty!$A$6,ROUND((C13/1000),1),texty!$A$8)</f>
        <v>Pokiaľ budete používať ako výplň sklo / zrkadlo, je nutné doobjednať tesnenie. Dĺžka tesnenia na jedno krídlo je -0,3m, pokiaľ je preskenných viac krídel, treba vynásobiť</v>
      </c>
      <c r="B56" s="42"/>
      <c r="C56" s="43"/>
      <c r="D56" s="42"/>
      <c r="E56" s="98"/>
      <c r="F56" s="98"/>
      <c r="G56" s="98"/>
      <c r="H56" s="375"/>
      <c r="I56" s="483" t="str">
        <f>IFERROR(IF((VLOOKUP(B56,cennik!A:L,12,0))="O",texty!$A$250,""),"")</f>
        <v/>
      </c>
      <c r="K56" s="196"/>
    </row>
    <row r="57" spans="1:13" ht="12.75" customHeight="1">
      <c r="C57" s="463" t="str">
        <f>texty!$A$10</f>
        <v>Potrebná dĺžka tesnenia pri celkovom presklení (nutné objednať celé metre)</v>
      </c>
      <c r="D57" s="453">
        <f>CEILING(((B9+C9)*2/1000*D4),1)</f>
        <v>0</v>
      </c>
      <c r="E57" s="375"/>
      <c r="F57" s="375"/>
      <c r="G57" s="375"/>
      <c r="H57" s="375"/>
      <c r="I57" s="483" t="str">
        <f>IFERROR(IF((VLOOKUP(B57,cennik!A:L,12,0))="O",texty!$A$250,""),"")</f>
        <v/>
      </c>
      <c r="K57" s="196"/>
      <c r="L57" s="3" t="s">
        <v>16</v>
      </c>
    </row>
    <row r="58" spans="1:13" ht="12.75" customHeight="1">
      <c r="A58" s="464" t="str">
        <f>texty!$A$12</f>
        <v>(pri kombináciach s H profilmi je nutné pripočítať potrebnú dĺžku - tesnenie musí byť po celom odvode každého skla</v>
      </c>
      <c r="B58" s="465"/>
      <c r="C58" s="466"/>
      <c r="D58" s="465"/>
      <c r="E58" s="455"/>
      <c r="F58" s="455"/>
      <c r="G58" s="455"/>
      <c r="H58" s="375"/>
      <c r="I58" s="483" t="str">
        <f>IFERROR(IF((VLOOKUP(B58,cennik!A:L,12,0))="O",texty!$A$250,""),"")</f>
        <v/>
      </c>
      <c r="K58" s="196"/>
      <c r="L58" s="3"/>
    </row>
    <row r="59" spans="1:13" ht="12.75" customHeight="1">
      <c r="A59" s="436" t="str">
        <f>texty!A102</f>
        <v>tesnenie na sklo 4mm</v>
      </c>
      <c r="B59" s="17">
        <v>89238</v>
      </c>
      <c r="C59" s="25" t="str">
        <f>+VLOOKUP(B59,cennik!$A:$G,2,FALSE)</f>
        <v>SEVROLL tesnenie na sklo 10/4mm</v>
      </c>
      <c r="D59" s="474"/>
      <c r="E59" s="92">
        <f>+VLOOKUP(B59,cennik!$A:$G,3,FALSE)</f>
        <v>0.89917999999999998</v>
      </c>
      <c r="F59" s="97">
        <f>+CEILING(D59,1)*E59</f>
        <v>0</v>
      </c>
      <c r="G59" s="93">
        <f>+F59*(100-$G$26)/100</f>
        <v>0</v>
      </c>
      <c r="H59" s="24" t="str">
        <f>cennik!$B$2</f>
        <v>EUR</v>
      </c>
      <c r="I59" s="483" t="str">
        <f>IFERROR(IF((VLOOKUP(B59,cennik!A:L,12,0))="O",texty!$A$250,""),"")</f>
        <v/>
      </c>
      <c r="K59" s="196" t="str">
        <f>IF(D59&gt;0,IF(VLOOKUP(B59,cennik!A:L,12,FALSE)="O",1,""),"")</f>
        <v/>
      </c>
      <c r="L59" s="3" t="s">
        <v>16</v>
      </c>
    </row>
    <row r="60" spans="1:13" ht="12.75" customHeight="1">
      <c r="A60" s="436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74"/>
      <c r="E60" s="92">
        <f>+VLOOKUP(B60,cennik!$A:$G,3,FALSE)</f>
        <v>0.79542999999999997</v>
      </c>
      <c r="F60" s="97">
        <f>+CEILING(D60,1)*E60</f>
        <v>0</v>
      </c>
      <c r="G60" s="93">
        <f>+F60*(100-$G$26)/100</f>
        <v>0</v>
      </c>
      <c r="H60" s="24" t="str">
        <f>cennik!$B$2</f>
        <v>EUR</v>
      </c>
      <c r="I60" s="483" t="str">
        <f>IFERROR(IF((VLOOKUP(B60,cennik!A:L,12,0))="O",texty!$A$250,""),"")</f>
        <v/>
      </c>
      <c r="K60" s="196" t="str">
        <f>IF(D60&gt;0,IF(VLOOKUP(B60,cennik!A:L,12,FALSE)="O",1,""),"")</f>
        <v/>
      </c>
    </row>
    <row r="61" spans="1:13" ht="12.75" customHeight="1">
      <c r="A61" s="436" t="str">
        <f>texty!A104</f>
        <v>tesnenie na sklo 6mm</v>
      </c>
      <c r="B61" s="17">
        <v>89243</v>
      </c>
      <c r="C61" s="25" t="str">
        <f>+VLOOKUP(B61,cennik!$A:$G,2,FALSE)</f>
        <v>SEVROLL tesnenie na sklo 10/6mm</v>
      </c>
      <c r="D61" s="474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K61" s="196" t="str">
        <f>IF(D61&gt;0,IF(VLOOKUP(B61,cennik!A:L,12,FALSE)="O",1,""),"")</f>
        <v/>
      </c>
    </row>
    <row r="62" spans="1:13" ht="16">
      <c r="A62" s="285" t="str">
        <f>texty!$A$190</f>
        <v>Ďalšie príslušenstvo</v>
      </c>
      <c r="E62" s="375"/>
      <c r="F62" s="375"/>
      <c r="G62" s="375"/>
      <c r="H62" s="24"/>
      <c r="I62" s="483" t="str">
        <f>IFERROR(IF((VLOOKUP(B62,cennik!A:L,12,0))="O",texty!$A$250,""),"")</f>
        <v/>
      </c>
      <c r="K62" s="196"/>
    </row>
    <row r="63" spans="1:13" ht="12.75" customHeight="1">
      <c r="A63" s="285" t="str">
        <f>texty!$A$244</f>
        <v>Technický nákres tohoto systému</v>
      </c>
      <c r="B63" s="17">
        <v>129677</v>
      </c>
      <c r="C63" s="467" t="str">
        <f>VLOOKUP(B63,cennik!A:C,2,0)</f>
        <v>SEVROLL-MONT.PRÍPRAVOK NA DTD 10mm MALÝ</v>
      </c>
      <c r="D63" s="474"/>
      <c r="E63" s="92">
        <f>+VLOOKUP(B63,cennik!$A:$G,3,FALSE)</f>
        <v>5.60419</v>
      </c>
      <c r="F63" s="97">
        <f>+CEILING(D63,1)*E63</f>
        <v>0</v>
      </c>
      <c r="G63" s="93">
        <f>+F63</f>
        <v>0</v>
      </c>
      <c r="H63" s="24" t="str">
        <f>cennik!$B$2</f>
        <v>EUR</v>
      </c>
      <c r="I63" s="483" t="str">
        <f>IFERROR(IF((VLOOKUP(B63,cennik!A:L,12,0))="O",texty!$A$250,""),"")</f>
        <v/>
      </c>
      <c r="K63" s="196" t="str">
        <f>IF(D63&gt;0,IF(VLOOKUP(B63,cennik!A:L,12,FALSE)="O",1,""),"")</f>
        <v/>
      </c>
    </row>
    <row r="64" spans="1:13" ht="12.75" customHeight="1">
      <c r="B64" s="17">
        <v>128842</v>
      </c>
      <c r="C64" s="467" t="str">
        <f>VLOOKUP(B64,cennik!A:C,2,0)</f>
        <v>SEVROLL-VRTÁK STUPŇOVITÝ 6,5/9,5mm</v>
      </c>
      <c r="D64" s="474"/>
      <c r="E64" s="92">
        <f>+VLOOKUP(B64,cennik!$A:$G,3,FALSE)</f>
        <v>23.986910000000002</v>
      </c>
      <c r="F64" s="97">
        <f>+CEILING(D64,1)*E64</f>
        <v>0</v>
      </c>
      <c r="G64" s="93">
        <f>+F64</f>
        <v>0</v>
      </c>
      <c r="H64" s="24" t="str">
        <f>cennik!$B$2</f>
        <v>EUR</v>
      </c>
      <c r="I64" s="483" t="str">
        <f>IFERROR(IF((VLOOKUP(B64,cennik!A:L,12,0))="O",texty!$A$250,""),"")</f>
        <v/>
      </c>
      <c r="K64" s="196" t="str">
        <f>IF(D64&gt;0,IF(VLOOKUP(B64,cennik!A:L,12,FALSE)="O",1,""),"")</f>
        <v/>
      </c>
      <c r="L64" s="5" t="str">
        <f>texty!A128</f>
        <v xml:space="preserve">strieborná </v>
      </c>
      <c r="M64" s="5" t="s">
        <v>2884</v>
      </c>
    </row>
    <row r="65" spans="1:14" ht="12.75" customHeight="1">
      <c r="A65" s="646" t="str">
        <f>IF(SUM(D49:D50)&gt;0,IF(C7&lt;(B4/3),texty!$A$212,""),"")</f>
        <v/>
      </c>
      <c r="B65" s="646"/>
      <c r="C65" s="646"/>
      <c r="D65" s="646"/>
      <c r="E65" s="646"/>
      <c r="F65" s="646"/>
      <c r="G65" s="646"/>
      <c r="H65" s="646"/>
      <c r="I65" s="468"/>
      <c r="J65" s="286"/>
      <c r="K65" s="135"/>
      <c r="L65" s="5" t="str">
        <f>texty!A129</f>
        <v>zlatá</v>
      </c>
      <c r="M65" s="5" t="s">
        <v>45</v>
      </c>
    </row>
    <row r="66" spans="1:14" ht="12.75" customHeight="1">
      <c r="B66" s="17"/>
      <c r="C66" s="17"/>
      <c r="D66" s="469" t="str">
        <f>texty!$A$15</f>
        <v>CELKOM  (bez DPH)</v>
      </c>
      <c r="E66" s="455"/>
      <c r="F66" s="101">
        <f>SUM(F28:F64)</f>
        <v>92.631650000000008</v>
      </c>
      <c r="G66" s="102">
        <f>SUM(G28:G64)</f>
        <v>92.631650000000008</v>
      </c>
      <c r="H66" s="24" t="str">
        <f>cennik!$B$2</f>
        <v>EUR</v>
      </c>
      <c r="I66" s="5"/>
      <c r="J66" s="186"/>
      <c r="K66" s="186"/>
      <c r="L66" s="5" t="str">
        <f>texty!A130</f>
        <v>oliva</v>
      </c>
    </row>
    <row r="67" spans="1:14" ht="12.75" customHeight="1">
      <c r="A67" s="456" t="str">
        <f>texty!A14</f>
        <v>Vaša poznámka:</v>
      </c>
      <c r="B67" s="650"/>
      <c r="C67" s="651"/>
      <c r="D67" s="651"/>
      <c r="E67" s="651"/>
      <c r="F67" s="651"/>
      <c r="G67" s="652"/>
      <c r="H67" s="24"/>
      <c r="J67" s="186"/>
      <c r="K67" s="186"/>
    </row>
    <row r="68" spans="1:14" ht="12.75" customHeight="1">
      <c r="A68" s="639">
        <f>profil!$U$15</f>
        <v>0</v>
      </c>
      <c r="B68" s="640"/>
      <c r="C68" s="640"/>
      <c r="D68" s="640"/>
      <c r="E68" s="640"/>
      <c r="F68" s="640"/>
      <c r="G68" s="640"/>
      <c r="H68" s="640"/>
    </row>
    <row r="69" spans="1:14" ht="12.75" customHeight="1">
      <c r="A69" s="641" t="str">
        <f>IF(N69=1,"texty!$A$213",IF(K69&gt;0,texty!$A$214,""))</f>
        <v/>
      </c>
      <c r="B69" s="641"/>
      <c r="C69" s="641"/>
      <c r="D69" s="641"/>
      <c r="E69" s="641"/>
      <c r="F69" s="641"/>
      <c r="G69" s="641"/>
      <c r="H69" s="641"/>
      <c r="K69" s="6">
        <f>SUM(K56:K64)</f>
        <v>0</v>
      </c>
      <c r="N69" s="5">
        <f>IF(ISERROR(K69),1,0)</f>
        <v>0</v>
      </c>
    </row>
  </sheetData>
  <sheetProtection algorithmName="SHA-512" hashValue="WwU7w52ZviWtuzow/KqoKWCuOkNKrjKzjQqfsjFrUPFXvyqDa6Rd0lzqAPw1e5bF0TLvaRx6dlWLOkA829Sh4g==" saltValue="bri3V0bIB3LyHA+vmVIp0g==" spinCount="100000" sheet="1" objects="1" scenarios="1"/>
  <mergeCells count="13">
    <mergeCell ref="U6:U7"/>
    <mergeCell ref="R6:R7"/>
    <mergeCell ref="S6:S7"/>
    <mergeCell ref="T6:T7"/>
    <mergeCell ref="G4:I6"/>
    <mergeCell ref="B5:F5"/>
    <mergeCell ref="A69:H69"/>
    <mergeCell ref="A68:H68"/>
    <mergeCell ref="I19:I20"/>
    <mergeCell ref="I21:I22"/>
    <mergeCell ref="A65:H65"/>
    <mergeCell ref="B67:G67"/>
    <mergeCell ref="A14:B15"/>
  </mergeCells>
  <phoneticPr fontId="0" type="noConversion"/>
  <conditionalFormatting sqref="D6">
    <cfRule type="expression" dxfId="367" priority="8">
      <formula>$D$4=4</formula>
    </cfRule>
    <cfRule type="expression" dxfId="366" priority="9">
      <formula>$D$4&lt;&gt;4</formula>
    </cfRule>
  </conditionalFormatting>
  <conditionalFormatting sqref="G4">
    <cfRule type="expression" dxfId="365" priority="7">
      <formula>$D$4=4</formula>
    </cfRule>
  </conditionalFormatting>
  <conditionalFormatting sqref="I19:I20">
    <cfRule type="expression" dxfId="364" priority="15">
      <formula>$F$4=$M$65</formula>
    </cfRule>
    <cfRule type="expression" dxfId="363" priority="16">
      <formula>$F$4=$L$65</formula>
    </cfRule>
  </conditionalFormatting>
  <conditionalFormatting sqref="I21:I22">
    <cfRule type="expression" dxfId="362" priority="23">
      <formula>$F$4=$M$64</formula>
    </cfRule>
    <cfRule type="expression" dxfId="361" priority="24">
      <formula>$F$4=$L$64</formula>
    </cfRule>
  </conditionalFormatting>
  <conditionalFormatting sqref="A14">
    <cfRule type="expression" dxfId="360" priority="2">
      <formula>SUM($D$47:$D$48)&gt;0</formula>
    </cfRule>
  </conditionalFormatting>
  <dataValidations count="7">
    <dataValidation type="list" allowBlank="1" showInputMessage="1" showErrorMessage="1" sqref="E6:F6" xr:uid="{00000000-0002-0000-0600-000000000000}">
      <formula1>"stříbrná,zlatá,oliva"</formula1>
      <formula2>0</formula2>
    </dataValidation>
    <dataValidation type="decimal" allowBlank="1" showInputMessage="1" showErrorMessage="1" errorTitle="Nelze" error="Maximální výška je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$M$64:$M$65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 zeroHeight="1"/>
  <cols>
    <col min="1" max="1" width="38.83203125" style="5" customWidth="1"/>
    <col min="2" max="2" width="15.83203125" style="5" customWidth="1"/>
    <col min="3" max="3" width="41" style="5" customWidth="1"/>
    <col min="4" max="4" width="14.1640625" style="5" customWidth="1"/>
    <col min="5" max="7" width="14.6640625" style="5" customWidth="1"/>
    <col min="8" max="8" width="4.83203125" style="5" customWidth="1"/>
    <col min="9" max="9" width="24.83203125" style="6" customWidth="1"/>
    <col min="10" max="10" width="12.33203125" style="6" hidden="1" customWidth="1"/>
    <col min="11" max="11" width="19.1640625" style="6" hidden="1" customWidth="1"/>
    <col min="12" max="12" width="9.1640625" style="5" hidden="1" customWidth="1"/>
    <col min="13" max="13" width="18.5" style="5" hidden="1" customWidth="1"/>
    <col min="14" max="14" width="7.5" style="5" hidden="1" customWidth="1"/>
    <col min="15" max="15" width="5.83203125" style="5" hidden="1" customWidth="1"/>
    <col min="16" max="16" width="8.6640625" style="5" hidden="1" customWidth="1"/>
    <col min="17" max="17" width="7.1640625" style="5" hidden="1" customWidth="1"/>
    <col min="18" max="16384" width="9.1640625" style="5" hidden="1"/>
  </cols>
  <sheetData>
    <row r="1" spans="1:22" ht="13.5" customHeight="1" thickBot="1">
      <c r="A1" s="436"/>
      <c r="B1" s="17"/>
      <c r="C1" s="17"/>
      <c r="D1" s="17"/>
      <c r="E1" s="17"/>
      <c r="F1" s="17"/>
      <c r="G1" s="24"/>
      <c r="H1" s="24"/>
      <c r="I1" s="24"/>
      <c r="L1" s="6">
        <v>2</v>
      </c>
      <c r="M1" s="5">
        <v>-9.75</v>
      </c>
    </row>
    <row r="2" spans="1:22" ht="18.75" customHeight="1">
      <c r="A2" s="538" t="s">
        <v>7990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I2" s="24"/>
      <c r="L2" s="6">
        <v>3</v>
      </c>
    </row>
    <row r="3" spans="1:22" ht="29" thickBot="1">
      <c r="A3" s="539"/>
      <c r="B3" s="434" t="str">
        <f>CONCATENATE(texty!A34," / max.         2 740 mm /")</f>
        <v>výška / max.         2 740 mm /</v>
      </c>
      <c r="C3" s="435" t="str">
        <f>CONCATENATE(texty!A35," / max 6 000 mm /")</f>
        <v>šírka / max 6 000 mm /</v>
      </c>
      <c r="D3" s="435" t="str">
        <f>+System10!D3</f>
        <v>počet dverí:</v>
      </c>
      <c r="E3" s="435" t="str">
        <f>+System10!E3</f>
        <v>farba</v>
      </c>
      <c r="F3" s="434" t="str">
        <f>texty!B38</f>
        <v>typ spodního vedení</v>
      </c>
      <c r="G3" s="24"/>
      <c r="H3" s="24"/>
      <c r="I3" s="24"/>
      <c r="L3" s="6"/>
    </row>
    <row r="4" spans="1:22" ht="24" customHeight="1">
      <c r="A4" s="437" t="str">
        <f>+System10!$A$4</f>
        <v>VNÚTORNÝ ROZMER SKRINE:</v>
      </c>
      <c r="B4" s="470"/>
      <c r="C4" s="470"/>
      <c r="D4" s="471">
        <v>2</v>
      </c>
      <c r="E4" s="472" t="s">
        <v>416</v>
      </c>
      <c r="F4" s="472" t="s">
        <v>2884</v>
      </c>
      <c r="G4" s="653"/>
      <c r="H4" s="653"/>
      <c r="I4" s="653"/>
      <c r="K4" s="195"/>
      <c r="L4" s="17">
        <f>IF(C4&lt;1701,1700,IF(C4&lt;2351,2350,IF(C4&lt;3001,3000,IF(C4&lt;4051,4050,6000))))</f>
        <v>1700</v>
      </c>
      <c r="M4" s="21"/>
      <c r="N4" s="17">
        <f>IF(C4&lt;1701,1700,IF(C4&lt;2351,2350,IF(C4&lt;3001,3000,IF(C4&lt;4051,4050,6000))))</f>
        <v>1700</v>
      </c>
    </row>
    <row r="5" spans="1:22" ht="18" customHeight="1">
      <c r="B5" s="649" t="str">
        <f>IF(barva=texty!A129,texty!A3,System10!B5)</f>
        <v>vypíšte týchto 5 políčok !!! Údaje v mm</v>
      </c>
      <c r="C5" s="649"/>
      <c r="D5" s="649"/>
      <c r="E5" s="649"/>
      <c r="F5" s="649"/>
      <c r="G5" s="653"/>
      <c r="H5" s="653"/>
      <c r="I5" s="653"/>
      <c r="K5" s="195"/>
      <c r="L5" s="23" t="str">
        <f>CONCATENATE(L4,"-",E4)</f>
        <v xml:space="preserve">1700-strieborná </v>
      </c>
      <c r="M5" s="21"/>
      <c r="N5" s="23" t="str">
        <f>CONCATENATE(N4,"-",E4,", ",F4)</f>
        <v>1700-strieborná , Elegant II</v>
      </c>
    </row>
    <row r="6" spans="1:22" ht="18" customHeight="1">
      <c r="A6" s="437"/>
      <c r="B6" s="445" t="str">
        <f>IF(D4=4,texty!A227,"")</f>
        <v/>
      </c>
      <c r="C6" s="21"/>
      <c r="D6" s="457">
        <v>3</v>
      </c>
      <c r="E6" s="17"/>
      <c r="F6" s="17"/>
      <c r="G6" s="653"/>
      <c r="H6" s="653"/>
      <c r="I6" s="653"/>
      <c r="K6" s="195"/>
      <c r="L6" s="6"/>
      <c r="R6" s="645" t="s">
        <v>646</v>
      </c>
      <c r="S6" s="645" t="s">
        <v>647</v>
      </c>
      <c r="T6" s="645" t="s">
        <v>648</v>
      </c>
      <c r="U6" s="645" t="s">
        <v>649</v>
      </c>
    </row>
    <row r="7" spans="1:22" ht="12.75" customHeight="1">
      <c r="A7" s="437" t="s">
        <v>8</v>
      </c>
      <c r="B7" s="57">
        <f>+B4-40</f>
        <v>-40</v>
      </c>
      <c r="C7" s="59">
        <f>+((C4-3+(36*(D4-1)))/D4+IF(AND(D4=4,D6=2),M1,0))</f>
        <v>16.5</v>
      </c>
      <c r="D7" s="17"/>
      <c r="E7" s="17"/>
      <c r="F7" s="17"/>
      <c r="G7" s="448" t="str">
        <f>texty!$A$39</f>
        <v>V prípade použitia skla ako výplne</v>
      </c>
      <c r="H7" s="24"/>
      <c r="I7" s="24"/>
      <c r="L7" s="6"/>
      <c r="O7" s="17">
        <f>IF(L11="jiné",M12,L11)</f>
        <v>1700</v>
      </c>
      <c r="P7" s="21" t="str">
        <f>+E4</f>
        <v xml:space="preserve">strieborná </v>
      </c>
      <c r="R7" s="645"/>
      <c r="S7" s="645"/>
      <c r="T7" s="645"/>
      <c r="U7" s="645"/>
    </row>
    <row r="8" spans="1:22" ht="12.75" customHeight="1">
      <c r="A8" s="437" t="s">
        <v>9</v>
      </c>
      <c r="B8" s="57">
        <f>+B7-64</f>
        <v>-104</v>
      </c>
      <c r="C8" s="59">
        <f>+C7-20</f>
        <v>-3.5</v>
      </c>
      <c r="D8" s="17"/>
      <c r="E8" s="17"/>
      <c r="F8" s="17"/>
      <c r="G8" s="448" t="str">
        <f>texty!$A$40</f>
        <v>je treba použiť bezpečnostné sklo</v>
      </c>
      <c r="H8" s="24"/>
      <c r="I8" s="24"/>
      <c r="L8" s="6" t="s">
        <v>73</v>
      </c>
      <c r="M8" s="5" t="s">
        <v>74</v>
      </c>
      <c r="O8" s="23" t="str">
        <f>CONCATENATE(O7,"-",E4)</f>
        <v xml:space="preserve">1700-strieborná </v>
      </c>
      <c r="P8" s="21"/>
      <c r="Q8" s="5">
        <v>1</v>
      </c>
      <c r="R8" s="164">
        <f>$C$10+5</f>
        <v>-15.5</v>
      </c>
      <c r="S8" s="5">
        <f>FLOOR(1700/R8,1)</f>
        <v>-110</v>
      </c>
      <c r="T8" s="5">
        <f>FLOOR(2350/R8,1)</f>
        <v>-152</v>
      </c>
      <c r="U8" s="5">
        <f>FLOOR(3000/R8,1)</f>
        <v>-194</v>
      </c>
    </row>
    <row r="9" spans="1:22" ht="12.75" customHeight="1">
      <c r="A9" s="437" t="s">
        <v>10</v>
      </c>
      <c r="B9" s="57">
        <f>+B8</f>
        <v>-104</v>
      </c>
      <c r="C9" s="59">
        <f>+C8-4</f>
        <v>-7.5</v>
      </c>
      <c r="D9" s="17"/>
      <c r="E9" s="17"/>
      <c r="F9" s="17"/>
      <c r="G9" s="448" t="str">
        <f>texty!$A$41</f>
        <v>alebo sklo zabezpečiť ochrannou fóliou</v>
      </c>
      <c r="H9" s="24"/>
      <c r="I9" s="24"/>
      <c r="L9" s="37">
        <f>C10*D4</f>
        <v>-41</v>
      </c>
      <c r="M9" s="36">
        <f>(D4+1)*5</f>
        <v>15</v>
      </c>
      <c r="Q9" s="5">
        <v>2</v>
      </c>
      <c r="R9" s="164">
        <f t="shared" ref="R9:R14" si="0">R8+$C$10+5</f>
        <v>-31</v>
      </c>
      <c r="S9" s="5">
        <f>(1700-C10)*S17</f>
        <v>-1720.5</v>
      </c>
      <c r="T9" s="5">
        <f>(2350-C10)*T17</f>
        <v>-2370.5</v>
      </c>
      <c r="U9" s="5">
        <f>(3000-C10)*U17</f>
        <v>-3020.5</v>
      </c>
      <c r="V9" s="5" t="s">
        <v>651</v>
      </c>
    </row>
    <row r="10" spans="1:22" ht="12.75" customHeight="1">
      <c r="A10" s="437" t="s">
        <v>11</v>
      </c>
      <c r="B10" s="57"/>
      <c r="C10" s="60">
        <f>+C7-37</f>
        <v>-20.5</v>
      </c>
      <c r="D10" s="17"/>
      <c r="E10" s="17"/>
      <c r="F10" s="17"/>
      <c r="G10" s="449"/>
      <c r="H10" s="24"/>
      <c r="I10" s="24"/>
      <c r="L10" s="5" t="s">
        <v>72</v>
      </c>
      <c r="O10" s="17" t="str">
        <f>IF(L11="jiné",M13,"")</f>
        <v/>
      </c>
      <c r="P10" s="21" t="str">
        <f>+E4</f>
        <v xml:space="preserve">strieborná </v>
      </c>
      <c r="Q10" s="5">
        <v>3</v>
      </c>
      <c r="R10" s="164">
        <f t="shared" si="0"/>
        <v>-46.5</v>
      </c>
    </row>
    <row r="11" spans="1:22" ht="12.75" customHeight="1">
      <c r="A11" s="437" t="s">
        <v>12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I11" s="24"/>
      <c r="L11" s="36">
        <f>IF((L9+M9)&lt;1700,1700,IF((L9+M9)&lt;2350,2350,IF((L9+M9)&lt;3000,3000,"jiné")))</f>
        <v>1700</v>
      </c>
      <c r="N11" s="5" t="s">
        <v>75</v>
      </c>
      <c r="O11" s="23" t="str">
        <f>CONCATENATE(O10,"-",E4)</f>
        <v xml:space="preserve">-strieborná </v>
      </c>
      <c r="P11" s="21"/>
      <c r="Q11" s="5">
        <v>4</v>
      </c>
      <c r="R11" s="164">
        <f t="shared" si="0"/>
        <v>-62</v>
      </c>
    </row>
    <row r="12" spans="1:22" ht="12.75" customHeight="1">
      <c r="A12" s="437" t="s">
        <v>41</v>
      </c>
      <c r="B12" s="502">
        <f>+B7</f>
        <v>-40</v>
      </c>
      <c r="C12" s="503"/>
      <c r="D12" s="17"/>
      <c r="E12" s="17"/>
      <c r="F12" s="17"/>
      <c r="G12" s="24"/>
      <c r="H12" s="24"/>
      <c r="I12" s="24"/>
      <c r="L12" s="6">
        <f>C10*(D4-1)+(D4*5)</f>
        <v>-10.5</v>
      </c>
      <c r="M12" s="5">
        <f>IF(L12&lt;1700,1700,IF(L12&lt;2350,2350,IF(L12&lt;3000,3000,3000)))</f>
        <v>1700</v>
      </c>
      <c r="N12" s="5">
        <f>M12-L12</f>
        <v>1710.5</v>
      </c>
      <c r="Q12" s="5">
        <v>5</v>
      </c>
      <c r="R12" s="164">
        <f t="shared" si="0"/>
        <v>-77.5</v>
      </c>
    </row>
    <row r="13" spans="1:22" ht="12.75" customHeight="1">
      <c r="A13" s="438" t="str">
        <f>System10!A13</f>
        <v>Dĺžka tesnenia na sklo na jednom krídle</v>
      </c>
      <c r="B13" s="65"/>
      <c r="C13" s="505">
        <f>ROUND(B8*2+C9*2,0)</f>
        <v>-223</v>
      </c>
      <c r="D13" s="17"/>
      <c r="E13" s="17"/>
      <c r="F13" s="17"/>
      <c r="G13" s="24"/>
      <c r="H13" s="24"/>
      <c r="I13" s="24"/>
      <c r="L13" s="35">
        <f>C10+10</f>
        <v>-10.5</v>
      </c>
      <c r="M13" s="5">
        <f>IF(N12&gt;=0,IF(L13&lt;1700,1700,IF(L13&lt;2350,2350,IF(L13&lt;3000,3000,"jiné"))),IF((L13+C10)&lt;1700,1700,IF((L13+C10)&lt;2350,2350,IF((L13+C10)&lt;3000,3000,"jiné"))))</f>
        <v>1700</v>
      </c>
      <c r="N13" s="5">
        <f>M13-L13</f>
        <v>1710.5</v>
      </c>
      <c r="Q13" s="5">
        <v>6</v>
      </c>
      <c r="R13" s="164">
        <f t="shared" si="0"/>
        <v>-93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I14" s="24"/>
      <c r="L14" s="6"/>
      <c r="M14" s="5">
        <f>SUM(M12:M13)</f>
        <v>3400</v>
      </c>
      <c r="N14" s="5">
        <f>SUM(N12:N13)</f>
        <v>3421</v>
      </c>
      <c r="Q14" s="5">
        <v>7</v>
      </c>
      <c r="R14" s="164">
        <f t="shared" si="0"/>
        <v>-108.5</v>
      </c>
    </row>
    <row r="15" spans="1:22" ht="17.25" customHeight="1">
      <c r="A15" s="644"/>
      <c r="B15" s="644"/>
      <c r="C15" s="504"/>
      <c r="D15" s="17"/>
      <c r="E15" s="17"/>
      <c r="F15" s="17"/>
      <c r="G15" s="24"/>
      <c r="H15" s="24"/>
      <c r="I15" s="24"/>
      <c r="L15" s="6"/>
      <c r="R15" s="164"/>
    </row>
    <row r="16" spans="1:22" ht="13">
      <c r="A16" s="436"/>
      <c r="B16" s="17"/>
      <c r="C16" s="504"/>
      <c r="D16" s="17"/>
      <c r="E16" s="17"/>
      <c r="F16" s="17"/>
      <c r="G16" s="24"/>
      <c r="H16" s="24"/>
      <c r="I16" s="24"/>
      <c r="L16" s="6"/>
      <c r="R16" s="164"/>
    </row>
    <row r="17" spans="1:22" ht="12.75" customHeight="1">
      <c r="B17" s="17"/>
      <c r="C17" s="447"/>
      <c r="D17" s="17"/>
      <c r="E17" s="17"/>
      <c r="F17" s="17"/>
      <c r="G17" s="24"/>
      <c r="H17" s="24"/>
      <c r="I17" s="24"/>
      <c r="L17" s="6"/>
      <c r="M17" s="5">
        <f>M14-C4</f>
        <v>3400</v>
      </c>
      <c r="Q17" s="5" t="s">
        <v>650</v>
      </c>
      <c r="S17" s="5">
        <f>FLOOR($D$4/S8,1)</f>
        <v>-1</v>
      </c>
      <c r="T17" s="5">
        <f>FLOOR($D$4/T8,1)</f>
        <v>-1</v>
      </c>
      <c r="U17" s="5">
        <f>FLOOR($D$4/U8,1)</f>
        <v>-1</v>
      </c>
    </row>
    <row r="18" spans="1:22" ht="12.75" customHeight="1">
      <c r="A18" s="436"/>
      <c r="B18" s="17"/>
      <c r="C18" s="447"/>
      <c r="D18" s="17"/>
      <c r="E18" s="17"/>
      <c r="F18" s="17"/>
      <c r="G18" s="24"/>
      <c r="H18" s="24"/>
      <c r="I18" s="24"/>
      <c r="L18" s="6"/>
    </row>
    <row r="19" spans="1:22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6"/>
    </row>
    <row r="20" spans="1:22" ht="16.5" customHeight="1">
      <c r="A20" s="436"/>
      <c r="B20" s="17"/>
      <c r="C20" s="17"/>
      <c r="D20" s="21"/>
      <c r="E20" s="17"/>
      <c r="F20" s="17"/>
      <c r="G20" s="24"/>
      <c r="H20" s="24"/>
      <c r="I20" s="647"/>
      <c r="L20" s="6"/>
      <c r="M20" s="6"/>
      <c r="R20" s="5" t="s">
        <v>694</v>
      </c>
      <c r="S20" s="5" t="s">
        <v>693</v>
      </c>
      <c r="T20" s="5">
        <v>1700</v>
      </c>
      <c r="U20" s="5">
        <v>2350</v>
      </c>
      <c r="V20" s="5">
        <v>3000</v>
      </c>
    </row>
    <row r="21" spans="1:22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6"/>
      <c r="Q21" s="5">
        <v>1</v>
      </c>
      <c r="R21" s="5">
        <f>S8</f>
        <v>-110</v>
      </c>
      <c r="S21" s="5" t="str">
        <f>IF(R21&gt;=D4,1,"")</f>
        <v/>
      </c>
      <c r="T21" s="168" t="str">
        <f>IF(S21=1,1,"")</f>
        <v/>
      </c>
      <c r="U21" s="168"/>
      <c r="V21" s="168"/>
    </row>
    <row r="22" spans="1:22" ht="12.75" customHeight="1">
      <c r="A22" s="436"/>
      <c r="B22" s="17"/>
      <c r="C22" s="17"/>
      <c r="D22" s="17"/>
      <c r="E22" s="17"/>
      <c r="F22" s="17"/>
      <c r="G22" s="24"/>
      <c r="H22" s="24"/>
      <c r="I22" s="648"/>
      <c r="L22" s="3"/>
      <c r="Q22" s="5">
        <v>2</v>
      </c>
      <c r="R22" s="5">
        <f>T8</f>
        <v>-152</v>
      </c>
      <c r="S22" s="5" t="str">
        <f>IF(R22&gt;=D4,IF(S21=1,"",1),"")</f>
        <v/>
      </c>
      <c r="T22" s="168"/>
      <c r="U22" s="168" t="str">
        <f>IF(S22=1,1,"")</f>
        <v/>
      </c>
      <c r="V22" s="168"/>
    </row>
    <row r="23" spans="1:22" ht="12.75" customHeight="1">
      <c r="A23" s="436"/>
      <c r="B23" s="17"/>
      <c r="C23" s="17"/>
      <c r="D23" s="17"/>
      <c r="E23" s="17"/>
      <c r="F23" s="17"/>
      <c r="G23" s="24"/>
      <c r="H23" s="24"/>
      <c r="I23" s="24"/>
      <c r="Q23" s="5">
        <v>3</v>
      </c>
      <c r="R23" s="5">
        <f>U8</f>
        <v>-194</v>
      </c>
      <c r="S23" s="5" t="str">
        <f>IF(R23&gt;=D4,IF(R22&gt;=D4,"",1),"")</f>
        <v/>
      </c>
      <c r="V23" s="168" t="str">
        <f>IF(S23=1,1,"")</f>
        <v/>
      </c>
    </row>
    <row r="24" spans="1:22" ht="12.75" customHeight="1">
      <c r="A24" s="436"/>
      <c r="B24" s="17"/>
      <c r="C24" s="17"/>
      <c r="D24" s="17"/>
      <c r="E24" s="17"/>
      <c r="F24" s="17"/>
      <c r="G24" s="24"/>
      <c r="H24" s="24"/>
      <c r="I24" s="24"/>
      <c r="L24" s="5" t="str">
        <f>CONCATENATE(N24,"-",$P$7)</f>
        <v xml:space="preserve">1700-strieborná </v>
      </c>
      <c r="M24" s="6">
        <f>SUM(T21:T32)</f>
        <v>0</v>
      </c>
      <c r="N24" s="5">
        <v>1700</v>
      </c>
      <c r="P24" s="5" t="s">
        <v>652</v>
      </c>
      <c r="Q24" s="167" t="s">
        <v>653</v>
      </c>
      <c r="R24" s="5">
        <f>S8+T8</f>
        <v>-262</v>
      </c>
      <c r="S24" s="5" t="str">
        <f>IF(R24&gt;=D4,IF(SUM(S21:S23)&gt;0,"",1),"")</f>
        <v/>
      </c>
      <c r="T24" s="168" t="str">
        <f>IF(S24=1,1,"")</f>
        <v/>
      </c>
      <c r="U24" s="168" t="str">
        <f>IF(S24=1,1,"")</f>
        <v/>
      </c>
    </row>
    <row r="25" spans="1:22" ht="12.75" customHeight="1">
      <c r="A25" s="436"/>
      <c r="B25" s="17"/>
      <c r="C25" s="21"/>
      <c r="D25" s="17"/>
      <c r="E25" s="17"/>
      <c r="F25" s="17"/>
      <c r="G25" s="452" t="str">
        <f>texty!$A$21</f>
        <v>partnerská zľava:</v>
      </c>
      <c r="H25" s="24"/>
      <c r="I25" s="24"/>
      <c r="L25" s="5" t="str">
        <f>CONCATENATE(N25,"-",$P$7)</f>
        <v xml:space="preserve">2350-strieborná </v>
      </c>
      <c r="M25" s="6">
        <f>SUM(U21:U32)</f>
        <v>0</v>
      </c>
      <c r="N25" s="5">
        <v>2350</v>
      </c>
      <c r="Q25" s="5" t="s">
        <v>689</v>
      </c>
      <c r="R25" s="5">
        <f>T8+T8</f>
        <v>-304</v>
      </c>
      <c r="S25" s="5" t="str">
        <f>IF(R25&gt;=D4,IF(SUM(S21:S24)&gt;0,"",1),"")</f>
        <v/>
      </c>
      <c r="U25" s="168" t="str">
        <f>IF(S25=1,2,"")</f>
        <v/>
      </c>
    </row>
    <row r="26" spans="1:22" ht="12.75" customHeight="1">
      <c r="A26" s="441" t="str">
        <f>+System10!$A$26</f>
        <v>Objednávacie kódy, ceny:</v>
      </c>
      <c r="B26" s="17"/>
      <c r="C26" s="21"/>
      <c r="D26" s="17"/>
      <c r="E26" s="17"/>
      <c r="F26" s="17"/>
      <c r="G26" s="388">
        <f>profil!C15</f>
        <v>0</v>
      </c>
      <c r="H26" s="454" t="s">
        <v>70</v>
      </c>
      <c r="I26" s="24"/>
      <c r="L26" s="5" t="str">
        <f>CONCATENATE(N26,"-",$P$7)</f>
        <v xml:space="preserve">3000-strieborná </v>
      </c>
      <c r="M26" s="6">
        <f>SUM(V21:V32)</f>
        <v>0</v>
      </c>
      <c r="N26" s="5">
        <v>3000</v>
      </c>
      <c r="O26" s="165"/>
      <c r="Q26" s="5" t="s">
        <v>654</v>
      </c>
      <c r="R26" s="5">
        <f>S8+U8</f>
        <v>-304</v>
      </c>
      <c r="S26" s="5" t="str">
        <f>IF(R26&gt;=D4,IF(SUM(S21:S25)&gt;0,"",1),"")</f>
        <v/>
      </c>
      <c r="T26" s="168" t="str">
        <f>IF(S26=1,1,"")</f>
        <v/>
      </c>
      <c r="V26" s="168" t="str">
        <f>IF(S26=1,1,"")</f>
        <v/>
      </c>
    </row>
    <row r="27" spans="1:22" ht="12.75" customHeight="1">
      <c r="A27" s="436"/>
      <c r="B27" s="19" t="s">
        <v>3</v>
      </c>
      <c r="C27" s="20" t="str">
        <f>texty!$A$16</f>
        <v>názov</v>
      </c>
      <c r="D27" s="19" t="str">
        <f>texty!$A$17</f>
        <v>ks</v>
      </c>
      <c r="E27" s="19" t="str">
        <f>texty!$A$18</f>
        <v>cena/ks</v>
      </c>
      <c r="F27" s="19" t="str">
        <f>texty!$A$19</f>
        <v>cena celkom</v>
      </c>
      <c r="G27" s="20" t="str">
        <f>texty!$A$20</f>
        <v>celkom netto:</v>
      </c>
      <c r="H27" s="24"/>
      <c r="I27" s="20" t="str">
        <f>texty!A29</f>
        <v>Poznámka:</v>
      </c>
      <c r="K27" s="18"/>
      <c r="L27" s="6"/>
      <c r="M27" s="5">
        <f>COUNT(M24,M25,M26)</f>
        <v>3</v>
      </c>
      <c r="N27" s="165"/>
      <c r="O27" s="165"/>
      <c r="Q27" s="5" t="s">
        <v>655</v>
      </c>
      <c r="R27" s="5">
        <f>T8+U8</f>
        <v>-346</v>
      </c>
      <c r="S27" s="5" t="str">
        <f>IF(R27&gt;=D4,IF(SUM(S21:S26)&gt;0,"",1),"")</f>
        <v/>
      </c>
      <c r="U27" s="168" t="str">
        <f>IF(S27=1,1,"")</f>
        <v/>
      </c>
      <c r="V27" s="168" t="str">
        <f>IF(S27=1,1,"")</f>
        <v/>
      </c>
    </row>
    <row r="28" spans="1:22" ht="12.75" customHeight="1">
      <c r="A28" s="436" t="str">
        <f>+System10!$A$28</f>
        <v>Horný profil:</v>
      </c>
      <c r="B28" s="16">
        <f>+VLOOKUP(L5,data!$C$176:$D$219,2,0)</f>
        <v>89106</v>
      </c>
      <c r="C28" s="25" t="str">
        <f>+VLOOKUP(B28,cennik!$A:$G,2,FALSE)</f>
        <v>SEVROLL Gemini horné vedenie 1,7m strieborná</v>
      </c>
      <c r="D28" s="17">
        <f>IF(B28="N/A",0,1)</f>
        <v>1</v>
      </c>
      <c r="E28" s="92">
        <f>+VLOOKUP(B28,cennik!$A:$G,3,FALSE)</f>
        <v>16.077369999999998</v>
      </c>
      <c r="F28" s="92">
        <f t="shared" ref="F28:F39" si="1">+E28*D28</f>
        <v>16.077369999999998</v>
      </c>
      <c r="G28" s="93">
        <f>+F28*(100-$G$26)/100</f>
        <v>16.077369999999998</v>
      </c>
      <c r="H28" s="24" t="str">
        <f>cennik!$B$2</f>
        <v>EUR</v>
      </c>
      <c r="I28" s="483" t="str">
        <f>IFERROR(IF((VLOOKUP(B28,cennik!A:L,12,0))="O",texty!$A$250,""),"")</f>
        <v/>
      </c>
      <c r="K28" s="196" t="str">
        <f>IF(D28&gt;0,IF(VLOOKUP(B28,cennik!A:L,12,FALSE)="O",1,""),"")</f>
        <v/>
      </c>
      <c r="L28" s="6"/>
      <c r="M28" s="165"/>
      <c r="N28" s="165"/>
      <c r="O28" s="165"/>
      <c r="Q28" s="5" t="s">
        <v>690</v>
      </c>
      <c r="R28" s="5">
        <f>U8+U8</f>
        <v>-388</v>
      </c>
      <c r="S28" s="5" t="str">
        <f>IF(R28&gt;=D4,IF(SUM(S21:S27)&gt;0,"",1),"")</f>
        <v/>
      </c>
      <c r="V28" s="168" t="str">
        <f>IF(S28=1,2,"")</f>
        <v/>
      </c>
    </row>
    <row r="29" spans="1:22" ht="12.75" customHeight="1">
      <c r="A29" s="436" t="str">
        <f>+System10!$A$29</f>
        <v>spodný profil:</v>
      </c>
      <c r="B29" s="16">
        <f>+VLOOKUP(N5,data!$C$4:$D$83,2,0)</f>
        <v>84385</v>
      </c>
      <c r="C29" s="25" t="str">
        <f>IF($B$29=data!$D$54,texty!$A$239,+VLOOKUP($B$29,cennik!$A:$G,2,FALSE))</f>
        <v>SEVROLL Elegant spodné vedenie 1,7m striebor</v>
      </c>
      <c r="D29" s="17">
        <v>1</v>
      </c>
      <c r="E29" s="92">
        <f>IF(B29=data!$D$63,0,+VLOOKUP(B29,cennik!$A:$G,3,FALSE))</f>
        <v>9.0389999999999997</v>
      </c>
      <c r="F29" s="92">
        <f t="shared" si="1"/>
        <v>9.0389999999999997</v>
      </c>
      <c r="G29" s="93">
        <f>+F29*(100-$F$26)/100</f>
        <v>9.0389999999999997</v>
      </c>
      <c r="H29" s="24" t="str">
        <f>cennik!$B$2</f>
        <v>EUR</v>
      </c>
      <c r="I29" s="483" t="str">
        <f>IFERROR(IF((VLOOKUP(B29,cennik!A:L,12,0))="O",texty!$A$250,""),"")</f>
        <v/>
      </c>
      <c r="K29" s="196" t="str">
        <f>IF(D29&gt;0,IF(VLOOKUP(B29,cennik!A:L,12,FALSE)="O",1,""),"")</f>
        <v/>
      </c>
      <c r="L29" s="6" t="s">
        <v>656</v>
      </c>
      <c r="M29" s="5" t="str">
        <f>IF(M24=0,IF(M25=0,L26,L25),L24)</f>
        <v xml:space="preserve">3000-strieborná </v>
      </c>
      <c r="N29" s="165">
        <f>IF(M29=L24,M24,IF(M29=L25,M25,IF(M29=L26,M26,"chyba")))</f>
        <v>0</v>
      </c>
      <c r="O29" s="165"/>
      <c r="P29" s="165"/>
      <c r="Q29" s="5" t="s">
        <v>691</v>
      </c>
      <c r="R29" s="5">
        <f>S8+S8+S8</f>
        <v>-330</v>
      </c>
      <c r="S29" s="5" t="str">
        <f>IF(R29&gt;=D4,IF(SUM(S21:S28)&gt;0,"",1),"")</f>
        <v/>
      </c>
      <c r="T29" s="168" t="str">
        <f>IF(S29=1,3,"")</f>
        <v/>
      </c>
    </row>
    <row r="30" spans="1:22" ht="12.75" customHeight="1">
      <c r="A30" s="436" t="str">
        <f>+System10!$A$30</f>
        <v>krycí profil (maska):</v>
      </c>
      <c r="B30" s="16">
        <f>+VLOOKUP(N5,data!$C$90:$D$175,2,0)</f>
        <v>318657</v>
      </c>
      <c r="C30" s="25" t="str">
        <f>IF($B$30=data!$D$54,texty!$A$239,+VLOOKUP($B$30,cennik!$A:$G,2,FALSE))</f>
        <v>SEV-maska Elegant II 1,7m strieborná</v>
      </c>
      <c r="D30" s="17">
        <v>1</v>
      </c>
      <c r="E30" s="92">
        <f>IF(B30=data!$D$63,0,+VLOOKUP(B30,cennik!$A:$G,3,FALSE))</f>
        <v>2.8683800000000002</v>
      </c>
      <c r="F30" s="92">
        <f t="shared" si="1"/>
        <v>2.8683800000000002</v>
      </c>
      <c r="G30" s="93">
        <f t="shared" ref="G30:G39" si="2">+F30*(100-$G$26)/100</f>
        <v>2.8683800000000002</v>
      </c>
      <c r="H30" s="24" t="str">
        <f>cennik!$B$2</f>
        <v>EUR</v>
      </c>
      <c r="I30" s="483" t="str">
        <f>IFERROR(IF((VLOOKUP(B30,cennik!A:L,12,0))="O",texty!$A$250,""),"")</f>
        <v/>
      </c>
      <c r="K30" s="196" t="str">
        <f>IF(D30&gt;0,IF(VLOOKUP(B30,cennik!A:L,12,FALSE)="O",1,""),"")</f>
        <v/>
      </c>
      <c r="L30" s="6" t="s">
        <v>657</v>
      </c>
      <c r="M30" s="5" t="str">
        <f>IF(M29=L26,"jiné",IF(M29=L24,IF(M25&lt;&gt;0,L25,IF(M26&lt;&gt;0,L26,"jiné")),IF(M26&lt;&gt;0,L26,"jiné")))</f>
        <v>jiné</v>
      </c>
      <c r="N30" s="165">
        <f>IF(M30=L25,M25,IF(M30=L26,M26,IF(M30=L27,M27,0)))</f>
        <v>0</v>
      </c>
      <c r="O30" s="165"/>
      <c r="P30" s="165"/>
      <c r="Q30" s="5" t="s">
        <v>658</v>
      </c>
      <c r="R30" s="5">
        <f>S8+2*T8</f>
        <v>-414</v>
      </c>
      <c r="S30" s="5" t="str">
        <f>IF(R30&gt;=D4,IF(SUM(S21:S29)&gt;0,"",1),"")</f>
        <v/>
      </c>
      <c r="T30" s="168" t="str">
        <f>IF(S30=1,1,"")</f>
        <v/>
      </c>
      <c r="U30" s="168" t="str">
        <f>IF(S30=1,2,"")</f>
        <v/>
      </c>
    </row>
    <row r="31" spans="1:22" ht="12.75" customHeight="1">
      <c r="A31" s="436" t="str">
        <f>+System10!$A$31</f>
        <v>horné vozíky (sady)</v>
      </c>
      <c r="B31" s="16">
        <v>89265</v>
      </c>
      <c r="C31" s="25" t="str">
        <f>+VLOOKUP(B31,cennik!$A$3:$G$984,2,FALSE)</f>
        <v>SEVROLL horný vozík 10mm asymetr.(L+P)</v>
      </c>
      <c r="D31" s="17">
        <f>IF((D50+D51)&gt;D4,0,D4-(D50+D51))</f>
        <v>2</v>
      </c>
      <c r="E31" s="92">
        <f>+VLOOKUP(B31,cennik!$A:$G,3,FALSE)</f>
        <v>5.7608600000000001</v>
      </c>
      <c r="F31" s="92">
        <f t="shared" si="1"/>
        <v>11.52172</v>
      </c>
      <c r="G31" s="93">
        <f t="shared" si="2"/>
        <v>11.52172</v>
      </c>
      <c r="H31" s="24" t="str">
        <f>cennik!$B$2</f>
        <v>EUR</v>
      </c>
      <c r="I31" s="483" t="str">
        <f>IFERROR(IF((VLOOKUP(B31,cennik!A:L,12,0))="O",texty!$A$250,""),"")</f>
        <v/>
      </c>
      <c r="K31" s="196" t="str">
        <f>IF(D31&gt;0,IF(VLOOKUP(B31,cennik!A:L,12,FALSE)="O",1,""),"")</f>
        <v/>
      </c>
      <c r="L31" s="6"/>
      <c r="M31" s="165"/>
      <c r="N31" s="165"/>
      <c r="O31" s="165"/>
      <c r="P31" s="165"/>
      <c r="Q31" s="5" t="s">
        <v>692</v>
      </c>
      <c r="R31" s="5">
        <f>T8+T8+T8</f>
        <v>-456</v>
      </c>
      <c r="S31" s="5" t="str">
        <f>IF(R31&gt;=D4,IF(SUM(S21:S30)&gt;0,"",1),"")</f>
        <v/>
      </c>
      <c r="U31" s="168" t="str">
        <f>IF(S31=1,3,"")</f>
        <v/>
      </c>
    </row>
    <row r="32" spans="1:22" ht="12.75" customHeight="1">
      <c r="A32" s="436" t="str">
        <f>+System10!$A$32</f>
        <v>spodné vozíky (sada)</v>
      </c>
      <c r="B32" s="16">
        <f>IF(F4=M68,328321,229441)</f>
        <v>328321</v>
      </c>
      <c r="C32" s="25" t="str">
        <f>+VLOOKUP(B32,cennik!$A:$G,2,FALSE)</f>
        <v>SEV-spodní vozík WD10 V 2ks bez pozicionéru</v>
      </c>
      <c r="D32" s="17">
        <f>+D4</f>
        <v>2</v>
      </c>
      <c r="E32" s="92">
        <f>+VLOOKUP(B32,cennik!$A:$G,3,FALSE)</f>
        <v>6.1947299999999998</v>
      </c>
      <c r="F32" s="92">
        <f t="shared" si="1"/>
        <v>12.38946</v>
      </c>
      <c r="G32" s="93">
        <f t="shared" si="2"/>
        <v>12.38946</v>
      </c>
      <c r="H32" s="24" t="str">
        <f>cennik!$B$2</f>
        <v>EUR</v>
      </c>
      <c r="I32" s="483" t="str">
        <f>IFERROR(IF((VLOOKUP(B32,cennik!A:L,12,0))="O",texty!$A$250,""),"")</f>
        <v/>
      </c>
      <c r="K32" s="196" t="str">
        <f>IF(D32&gt;0,IF(VLOOKUP(B32,cennik!A:L,12,FALSE)="O",1,""),"")</f>
        <v/>
      </c>
      <c r="L32" s="6"/>
      <c r="M32" s="165"/>
      <c r="N32" s="165"/>
      <c r="O32" s="165"/>
      <c r="P32" s="165"/>
      <c r="Q32" s="5" t="s">
        <v>659</v>
      </c>
      <c r="R32" s="5">
        <f>S8+2*U8</f>
        <v>-498</v>
      </c>
      <c r="S32" s="5" t="str">
        <f>IF(R32&gt;=D4,IF(SUM(S21:S31)&gt;0,"",1),"")</f>
        <v/>
      </c>
      <c r="T32" s="168" t="str">
        <f>IF(S32=1,1,"")</f>
        <v/>
      </c>
      <c r="V32" s="168" t="str">
        <f>IF(S32=1,2,"")</f>
        <v/>
      </c>
    </row>
    <row r="33" spans="1:12" ht="12.75" customHeight="1">
      <c r="A33" s="436" t="str">
        <f>+System10!$A$33</f>
        <v>dorazový kartáč</v>
      </c>
      <c r="B33" s="16">
        <f>+VLOOKUP(L48,data!$C$695:$D$713,2,0)</f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1"/>
        <v>0</v>
      </c>
      <c r="G33" s="93">
        <f t="shared" si="2"/>
        <v>0</v>
      </c>
      <c r="H33" s="24" t="str">
        <f>cennik!$B$2</f>
        <v>EUR</v>
      </c>
      <c r="I33" s="483" t="str">
        <f>IFERROR(IF((VLOOKUP(B33,cennik!A:L,12,0))="O",texty!$A$250,""),"")</f>
        <v/>
      </c>
      <c r="K33" s="196" t="str">
        <f>IF(D33&gt;0,IF(VLOOKUP(B33,cennik!A:L,12,FALSE)="O",1,""),"")</f>
        <v/>
      </c>
      <c r="L33" s="6"/>
    </row>
    <row r="34" spans="1:12" ht="12.75" customHeight="1">
      <c r="A34" s="436" t="str">
        <f>+System10!$A$34</f>
        <v>úchytková lišta</v>
      </c>
      <c r="B34" s="16">
        <f>+VLOOKUP(P7,data!$C$597:$D$599,2,0)</f>
        <v>372604</v>
      </c>
      <c r="C34" s="25" t="str">
        <f>+VLOOKUP(B34,cennik!$A:$G,2,FALSE)</f>
        <v/>
      </c>
      <c r="D34" s="17">
        <f>IF(B12&lt;=1347,D4*2/2,D4*2)</f>
        <v>2</v>
      </c>
      <c r="E34" s="92">
        <f>+VLOOKUP(B34,cennik!$A:$G,3,FALSE)</f>
        <v>15.0891</v>
      </c>
      <c r="F34" s="92">
        <f t="shared" si="1"/>
        <v>30.1782</v>
      </c>
      <c r="G34" s="93">
        <f t="shared" si="2"/>
        <v>30.1782</v>
      </c>
      <c r="H34" s="24" t="str">
        <f>cennik!$B$2</f>
        <v>EUR</v>
      </c>
      <c r="I34" s="483" t="str">
        <f>IFERROR(IF((VLOOKUP(B34,cennik!A:L,12,0))="O",texty!$A$250,""),"")</f>
        <v/>
      </c>
      <c r="K34" s="196" t="str">
        <f>IF(D34&gt;0,IF(VLOOKUP(B34,cennik!A:L,12,FALSE)="O",1,""),"")</f>
        <v/>
      </c>
      <c r="L34" s="6"/>
    </row>
    <row r="35" spans="1:12" ht="12.75" customHeight="1">
      <c r="A35" s="436" t="str">
        <f>+System10!$A$35</f>
        <v>spojovacia skrutka</v>
      </c>
      <c r="B35" s="16">
        <v>89244</v>
      </c>
      <c r="C35" s="25" t="str">
        <f>+VLOOKUP(B35,cennik!$A:$G,2,FALSE)</f>
        <v>SEVROLL šroubovrut 6,3*32 -Sevroll a Simple</v>
      </c>
      <c r="D35" s="17">
        <f>+D4*4</f>
        <v>8</v>
      </c>
      <c r="E35" s="92">
        <f>+VLOOKUP(B35,cennik!$A:$G,3,FALSE)</f>
        <v>0.14462</v>
      </c>
      <c r="F35" s="92">
        <f t="shared" si="1"/>
        <v>1.15696</v>
      </c>
      <c r="G35" s="93">
        <f t="shared" si="2"/>
        <v>1.15696</v>
      </c>
      <c r="H35" s="24" t="str">
        <f>cennik!$B$2</f>
        <v>EUR</v>
      </c>
      <c r="I35" s="483" t="str">
        <f>IFERROR(IF((VLOOKUP(B35,cennik!A:L,12,0))="O",texty!$A$250,""),"")</f>
        <v/>
      </c>
      <c r="K35" s="196" t="str">
        <f>IF(D35&gt;0,IF(VLOOKUP(B35,cennik!A:L,12,FALSE)="O",1,""),"")</f>
        <v/>
      </c>
      <c r="L35" s="3"/>
    </row>
    <row r="36" spans="1:12" ht="12.75" customHeight="1">
      <c r="A36" s="436" t="str">
        <f>+System10!$A$36</f>
        <v>horný profil rámu (vodiaca lišta)</v>
      </c>
      <c r="B36" s="16">
        <f>+VLOOKUP(M29,data!C262:D293,2,0)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1"/>
        <v>0</v>
      </c>
      <c r="G36" s="93">
        <f t="shared" si="2"/>
        <v>0</v>
      </c>
      <c r="H36" s="24" t="str">
        <f>cennik!$B$2</f>
        <v>EUR</v>
      </c>
      <c r="I36" s="483" t="str">
        <f>IFERROR(IF((VLOOKUP(B36,cennik!A:L,12,0))="O",texty!$A$250,""),"")</f>
        <v/>
      </c>
      <c r="K36" s="196" t="str">
        <f>IF(D36&gt;0,IF(VLOOKUP(B36,cennik!A:L,12,FALSE)="O",1,""),"")</f>
        <v/>
      </c>
      <c r="L36" s="3" t="s">
        <v>15</v>
      </c>
    </row>
    <row r="37" spans="1:12" ht="12.75" customHeight="1">
      <c r="A37" s="436" t="str">
        <f>+System10!$A$36</f>
        <v>horný profil rámu (vodiaca lišta)</v>
      </c>
      <c r="B37" s="24" t="str">
        <f>IF(M30&lt;&gt;"jiné",+VLOOKUP(M30,data!C262:D287,2,0),"")</f>
        <v/>
      </c>
      <c r="C37" s="460" t="str">
        <f>IF(M30&lt;&gt;"jiné",+VLOOKUP(B37,cennik!$A$3:$G$984,2,FALSE),texty!$A$2)</f>
        <v>druhá lišta nieje potrebná</v>
      </c>
      <c r="D37" s="65">
        <f>N30</f>
        <v>0</v>
      </c>
      <c r="E37" s="461">
        <f>IF(M30&lt;&gt;"jiné",+VLOOKUP(B37,cennik!$A:$G,3,FALSE),0)</f>
        <v>0</v>
      </c>
      <c r="F37" s="92">
        <f t="shared" si="1"/>
        <v>0</v>
      </c>
      <c r="G37" s="93">
        <f t="shared" si="2"/>
        <v>0</v>
      </c>
      <c r="H37" s="24" t="str">
        <f>cennik!$B$2</f>
        <v>EUR</v>
      </c>
      <c r="I37" s="483" t="str">
        <f>IFERROR(IF((VLOOKUP(B37,cennik!A:L,12,0))="O",texty!$A$250,""),"")</f>
        <v/>
      </c>
      <c r="K37" s="196" t="str">
        <f>IF(D37&gt;0,IF(VLOOKUP(B37,cennik!A:L,12,FALSE)="O",1,""),"")</f>
        <v/>
      </c>
      <c r="L37" s="3" t="s">
        <v>15</v>
      </c>
    </row>
    <row r="38" spans="1:12" ht="12.75" customHeight="1">
      <c r="A38" s="436" t="str">
        <f>+System10!A38</f>
        <v>horizontálny spodný profil rámu</v>
      </c>
      <c r="B38" s="16">
        <f>+VLOOKUP(M29,data!$C$315:$D$346,2,0)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1"/>
        <v>0</v>
      </c>
      <c r="G38" s="93">
        <f t="shared" si="2"/>
        <v>0</v>
      </c>
      <c r="H38" s="24" t="str">
        <f>cennik!$B$2</f>
        <v>EUR</v>
      </c>
      <c r="I38" s="483" t="str">
        <f>IFERROR(IF((VLOOKUP(B38,cennik!A:L,12,0))="O",texty!$A$250,""),"")</f>
        <v/>
      </c>
      <c r="K38" s="196" t="str">
        <f>IF(D38&gt;0,IF(VLOOKUP(B38,cennik!A:L,12,FALSE)="O",1,""),"")</f>
        <v/>
      </c>
      <c r="L38" s="3" t="s">
        <v>15</v>
      </c>
    </row>
    <row r="39" spans="1:12" ht="12.75" customHeight="1">
      <c r="A39" s="436" t="str">
        <f>+System10!A39</f>
        <v>horizontálny spodný profil rámu</v>
      </c>
      <c r="B39" s="24" t="str">
        <f>IF(M30&lt;&gt;"jiné",+VLOOKUP(M30,data!$C$315:$D$337,2,0),"")</f>
        <v/>
      </c>
      <c r="C39" s="25" t="str">
        <f>IF(M30&lt;&gt;"jiné",+VLOOKUP(B39,cennik!$A$3:$G$984,2,FALSE),texty!A2)</f>
        <v>druhá lišta nieje potrebná</v>
      </c>
      <c r="D39" s="65">
        <f>N30</f>
        <v>0</v>
      </c>
      <c r="E39" s="461">
        <f>IF(M30&lt;&gt;"jiné",+VLOOKUP(B39,cennik!$A:$G,3,FALSE),0)</f>
        <v>0</v>
      </c>
      <c r="F39" s="92">
        <f t="shared" si="1"/>
        <v>0</v>
      </c>
      <c r="G39" s="93">
        <f t="shared" si="2"/>
        <v>0</v>
      </c>
      <c r="H39" s="24" t="str">
        <f>cennik!$B$2</f>
        <v>EUR</v>
      </c>
      <c r="I39" s="483" t="str">
        <f>IFERROR(IF((VLOOKUP(B39,cennik!A:L,12,0))="O",texty!$A$250,""),"")</f>
        <v/>
      </c>
      <c r="K39" s="196" t="str">
        <f>IF(D39&gt;0,IF(VLOOKUP(B39,cennik!A:L,12,FALSE)="O",1,""),"")</f>
        <v/>
      </c>
      <c r="L39" s="3" t="s">
        <v>15</v>
      </c>
    </row>
    <row r="40" spans="1:12" ht="12.75" customHeight="1">
      <c r="A40" s="21"/>
      <c r="B40" s="21"/>
      <c r="C40" s="21"/>
      <c r="D40" s="21"/>
      <c r="E40" s="375"/>
      <c r="F40" s="375"/>
      <c r="G40" s="375"/>
      <c r="H40" s="24"/>
      <c r="I40" s="483" t="str">
        <f>IFERROR(IF((VLOOKUP(B40,cennik!A:L,12,0))="O",texty!$A$250,""),"")</f>
        <v/>
      </c>
      <c r="K40" s="196" t="str">
        <f>IF(D40&gt;0,IF(VLOOKUP(B40,cennik!A:L,12,FALSE)="O",1,""),"")</f>
        <v/>
      </c>
      <c r="L40" s="3" t="s">
        <v>16</v>
      </c>
    </row>
    <row r="41" spans="1:12" ht="12.75" customHeight="1">
      <c r="A41" s="441" t="str">
        <f>texty!$A$66</f>
        <v>Voliteľné príslušenstvo:</v>
      </c>
      <c r="B41" s="16"/>
      <c r="C41" s="21"/>
      <c r="D41" s="462" t="str">
        <f>System10!$D$41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K41" s="196"/>
      <c r="L41" s="3" t="s">
        <v>16</v>
      </c>
    </row>
    <row r="42" spans="1:12" ht="12.75" customHeight="1">
      <c r="A42" s="436" t="str">
        <f>texty!$A$88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7">
        <f t="shared" ref="F42:F51" si="3">+CEILING(D42,1)*E42</f>
        <v>0</v>
      </c>
      <c r="G42" s="93">
        <f t="shared" ref="G42:G55" si="4"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K42" s="196"/>
      <c r="L42" s="3"/>
    </row>
    <row r="43" spans="1:12" ht="12.75" customHeight="1">
      <c r="A43" s="436" t="str">
        <f>+System10!$A$43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387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5"/>
      <c r="K43" s="196" t="str">
        <f>IF(D43&gt;0,IF(VLOOKUP(B43,cennik!A:L,12,FALSE)="O",1,""),"")</f>
        <v/>
      </c>
      <c r="L43" s="6"/>
    </row>
    <row r="44" spans="1:12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5"/>
      <c r="K44" s="196" t="str">
        <f>IF(D44&gt;0,IF(VLOOKUP(B44,cennik!A:L,12,FALSE)="O",1,""),"")</f>
        <v/>
      </c>
      <c r="L44" s="6"/>
    </row>
    <row r="45" spans="1:12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5"/>
      <c r="K45" s="196" t="str">
        <f>IF(D45&gt;0,IF(VLOOKUP(B45,cennik!A:L,12,FALSE)="O",1,""),"")</f>
        <v/>
      </c>
      <c r="L45" s="6"/>
    </row>
    <row r="46" spans="1:12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5"/>
      <c r="K46" s="196" t="str">
        <f>IF(D46&gt;0,IF(VLOOKUP(B46,cennik!A:L,12,FALSE)="O",1,""),"")</f>
        <v/>
      </c>
      <c r="L46" s="6"/>
    </row>
    <row r="47" spans="1:12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5"/>
      <c r="K47" s="196" t="str">
        <f>IF(D47&gt;0,IF(VLOOKUP(B47,cennik!A:L,12,FALSE)="O",1,""),"")</f>
        <v/>
      </c>
      <c r="L47" s="5">
        <v>14.5</v>
      </c>
    </row>
    <row r="48" spans="1:12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5"/>
      <c r="K48" s="196" t="str">
        <f>IF(D48&gt;0,IF(VLOOKUP(B48,cennik!A:L,12,FALSE)="O",1,""),"")</f>
        <v/>
      </c>
      <c r="L48" s="5" t="str">
        <f>CONCATENATE(L47,"-",E4)</f>
        <v xml:space="preserve">14,5-strieborná </v>
      </c>
    </row>
    <row r="49" spans="1:12" ht="12.75" customHeight="1">
      <c r="A49" s="436" t="str">
        <f>CONCATENATE(texty!A179,)</f>
        <v>skrutka k spodnémi vedeniu</v>
      </c>
      <c r="B49" s="16">
        <v>98019</v>
      </c>
      <c r="C49" s="25" t="str">
        <f>+VLOOKUP(B49,cennik!$A:$G,2,FALSE)</f>
        <v>SEVROLL-skrutka 2,5*18MM</v>
      </c>
      <c r="D49" s="387"/>
      <c r="E49" s="92">
        <f>+VLOOKUP(B49,cennik!$A:$G,3,FALSE)</f>
        <v>2.8680000000000001E-2</v>
      </c>
      <c r="F49" s="97">
        <f t="shared" si="3"/>
        <v>0</v>
      </c>
      <c r="G49" s="93">
        <f t="shared" si="4"/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5"/>
      <c r="K49" s="196" t="str">
        <f>IF(D49&gt;0,IF(VLOOKUP(B49,cennik!A:L,12,FALSE)="O",1,""),"")</f>
        <v/>
      </c>
      <c r="L49" s="3"/>
    </row>
    <row r="50" spans="1:12" ht="12.75" customHeight="1">
      <c r="A50" s="436" t="str">
        <f>System10!A49</f>
        <v>tlmič dorazu (pár) 25 kg</v>
      </c>
      <c r="B50" s="24">
        <v>227185</v>
      </c>
      <c r="C50" s="25" t="str">
        <f>+VLOOKUP(B50,cennik!$A:$G,2,FALSE)</f>
        <v>K-SEVROLL tlmič dorazu 10/18mm 14-25kg(L+P)</v>
      </c>
      <c r="D50" s="387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5"/>
      <c r="K50" s="196" t="str">
        <f>IF(D50&gt;0,IF(VLOOKUP(B50,cennik!A:L,12,FALSE)="O",1,""),"")</f>
        <v/>
      </c>
      <c r="L50" s="6"/>
    </row>
    <row r="51" spans="1:12" ht="12.5" customHeight="1">
      <c r="A51" s="436" t="str">
        <f>texty!$A$98</f>
        <v>tlmič dorazu (pár) 50 kg</v>
      </c>
      <c r="B51" s="24">
        <v>227187</v>
      </c>
      <c r="C51" s="25" t="str">
        <f>+VLOOKUP(B51,cennik!$A:$G,2,FALSE)</f>
        <v>K-SEVROLL tlmič dorazu 10/18mm 25-50kg(L+P)</v>
      </c>
      <c r="D51" s="387"/>
      <c r="E51" s="92">
        <f>+VLOOKUP(B51,cennik!$A:$G,3,FALSE)</f>
        <v>0</v>
      </c>
      <c r="F51" s="97">
        <f t="shared" si="3"/>
        <v>0</v>
      </c>
      <c r="G51" s="93">
        <f t="shared" si="4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5"/>
      <c r="K51" s="196" t="str">
        <f>IF(D51&gt;0,IF(VLOOKUP(B51,cennik!A:L,12,FALSE)="O",1,""),"")</f>
        <v/>
      </c>
    </row>
    <row r="52" spans="1:12" ht="12.75" customHeight="1">
      <c r="A52" s="436" t="str">
        <f>System10!A51</f>
        <v>spojovací profil H10-3metre</v>
      </c>
      <c r="B52" s="16">
        <f>+VLOOKUP(P7,data!C390:D399,2,0)</f>
        <v>89236</v>
      </c>
      <c r="C52" s="25" t="str">
        <f>+VLOOKUP(B52,cennik!$A:$G,2,FALSE)</f>
        <v>SEVROLL- SPOJ.LIŠTA "H10" 3M STR.</v>
      </c>
      <c r="D52" s="473"/>
      <c r="E52" s="92">
        <f>+VLOOKUP(B52,cennik!$A:$G,3,FALSE)</f>
        <v>17.52046</v>
      </c>
      <c r="F52" s="92">
        <f>+E52*D52</f>
        <v>0</v>
      </c>
      <c r="G52" s="93">
        <f t="shared" si="4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5"/>
      <c r="K52" s="196" t="str">
        <f>IF(D52&gt;0,IF(VLOOKUP(B52,cennik!A:L,12,FALSE)="O",1,""),"")</f>
        <v/>
      </c>
      <c r="L52" s="6"/>
    </row>
    <row r="53" spans="1:12" ht="12.75" customHeight="1">
      <c r="A53" s="436" t="str">
        <f>System10!A52</f>
        <v>spojovací profil H30-3metre</v>
      </c>
      <c r="B53" s="17">
        <f>+VLOOKUP(P7,data!C399:D407,2,0)</f>
        <v>89069</v>
      </c>
      <c r="C53" s="25" t="str">
        <f>IF($B$53=data!$D$54,texty!$A$239,+VLOOKUP($B$53,cennik!$A:$G,2,FALSE))</f>
        <v>SEVROLL-253S-SPOJ.LIŠTA H-30mm STR 3m</v>
      </c>
      <c r="D53" s="387"/>
      <c r="E53" s="488">
        <f>IF(B53=data!$D$63,0,+VLOOKUP(B53,cennik!$A:$G,3,FALSE))</f>
        <v>26.594049999999999</v>
      </c>
      <c r="F53" s="488">
        <f>+E53*D53</f>
        <v>0</v>
      </c>
      <c r="G53" s="489">
        <f t="shared" si="4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5"/>
      <c r="K53" s="196" t="str">
        <f>IF(D53&gt;0,IF(VLOOKUP(B53,cennik!A:L,12,FALSE)="O",1,""),"")</f>
        <v/>
      </c>
      <c r="L53" s="6"/>
    </row>
    <row r="54" spans="1:12" ht="12.75" customHeight="1">
      <c r="A54" s="436" t="str">
        <f>texty!$A$92</f>
        <v>spojovacia skrutka</v>
      </c>
      <c r="B54" s="16">
        <v>89244</v>
      </c>
      <c r="C54" s="25" t="str">
        <f>+VLOOKUP(B54,cennik!$A:$G,2,FALSE)</f>
        <v>SEVROLL šroubovrut 6,3*32 -Sevroll a Simple</v>
      </c>
      <c r="D54" s="473"/>
      <c r="E54" s="92">
        <f>+VLOOKUP(B54,cennik!$A:$G,3,FALSE)</f>
        <v>0.14462</v>
      </c>
      <c r="F54" s="92">
        <f>+E54*D54</f>
        <v>0</v>
      </c>
      <c r="G54" s="93">
        <f t="shared" si="4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5"/>
      <c r="K54" s="196" t="str">
        <f>IF(D54&gt;0,IF(VLOOKUP(B54,cennik!A:L,12,FALSE)="O",1,""),"")</f>
        <v/>
      </c>
      <c r="L54" s="6"/>
    </row>
    <row r="55" spans="1:12" ht="12.75" customHeight="1">
      <c r="A55" s="436" t="str">
        <f>System10!A55</f>
        <v>protiprachový kartáč</v>
      </c>
      <c r="B55" s="17">
        <v>95946</v>
      </c>
      <c r="C55" s="25" t="str">
        <f>+VLOOKUP(B55,cennik!$A:$G,2,FALSE)</f>
        <v>SEVROLL protiprach.kartáč zásuvný 4,8x13mm</v>
      </c>
      <c r="D55" s="473"/>
      <c r="E55" s="92">
        <f>+VLOOKUP(B55,cennik!$A:$G,3,FALSE)</f>
        <v>0.16506999999999999</v>
      </c>
      <c r="F55" s="92">
        <f>+E55*D55</f>
        <v>0</v>
      </c>
      <c r="G55" s="93">
        <f t="shared" si="4"/>
        <v>0</v>
      </c>
      <c r="H55" s="24" t="str">
        <f>cennik!$B$2</f>
        <v>EUR</v>
      </c>
      <c r="I55" s="483" t="str">
        <f>IFERROR(IF((VLOOKUP(B55,cennik!A:L,12,0))="O",texty!$A$250,""),"")</f>
        <v/>
      </c>
      <c r="J55" s="5"/>
      <c r="K55" s="196" t="str">
        <f>IF(D55&gt;0,IF(VLOOKUP(B55,cennik!A:L,12,FALSE)="O",1,""),"")</f>
        <v/>
      </c>
      <c r="L55" s="6"/>
    </row>
    <row r="56" spans="1:12" s="21" customFormat="1" ht="12.75" customHeight="1">
      <c r="A56" s="436" t="str">
        <f>texty!A240</f>
        <v>zámok posuvných dverí</v>
      </c>
      <c r="B56" s="17">
        <v>216363</v>
      </c>
      <c r="C56" s="25" t="str">
        <f>+VLOOKUP(B56,cennik!$A:$G,2,FALSE)</f>
        <v>SEVROLL zámok na posuvné dvere 18 mm</v>
      </c>
      <c r="D56" s="473"/>
      <c r="E56" s="92">
        <f>+VLOOKUP(B56,cennik!$A:$G,3,FALSE)</f>
        <v>17.186150000000001</v>
      </c>
      <c r="F56" s="92">
        <f>+E56*D56</f>
        <v>0</v>
      </c>
      <c r="G56" s="93">
        <f>+F56*(100-$G$26)/100</f>
        <v>0</v>
      </c>
      <c r="H56" s="24" t="str">
        <f>cennik!$B$2</f>
        <v>EUR</v>
      </c>
      <c r="I56" s="483" t="str">
        <f>IFERROR(IF((VLOOKUP(B56,cennik!A:L,12,0))="O",texty!$A$250,""),"")</f>
        <v/>
      </c>
      <c r="J56" s="453" t="str">
        <f>IF(D56&gt;0,IF(VLOOKUP(B56,cennik!A:L,12,FALSE)="O",1,""),"")</f>
        <v/>
      </c>
      <c r="K56" s="24"/>
    </row>
    <row r="57" spans="1:12" s="21" customFormat="1" ht="12.75" customHeight="1">
      <c r="A57" s="436"/>
      <c r="B57" s="17"/>
      <c r="C57" s="25"/>
      <c r="D57" s="92"/>
      <c r="E57" s="92"/>
      <c r="F57" s="92"/>
      <c r="G57" s="93"/>
      <c r="H57" s="24"/>
      <c r="I57" s="483" t="str">
        <f>IFERROR(IF((VLOOKUP(B57,cennik!A:L,12,0))="O",texty!$A$250,""),"")</f>
        <v/>
      </c>
      <c r="J57" s="453"/>
      <c r="K57" s="24"/>
    </row>
    <row r="58" spans="1:12" ht="12.75" customHeight="1">
      <c r="A58" s="443" t="str">
        <f>CONCATENATE(texty!$A$6,ROUND((C13/1000),1),texty!$A$8)</f>
        <v>Pokiaľ budete používať ako výplň sklo / zrkadlo, je nutné doobjednať tesnenie. Dĺžka tesnenia na jedno krídlo je -0,2m, pokiaľ je preskenných viac krídel, treba vynásobiť</v>
      </c>
      <c r="B58" s="42"/>
      <c r="C58" s="43"/>
      <c r="D58" s="42"/>
      <c r="E58" s="98"/>
      <c r="F58" s="98"/>
      <c r="G58" s="98"/>
      <c r="H58" s="375"/>
      <c r="I58" s="483" t="str">
        <f>IFERROR(IF((VLOOKUP(B58,cennik!A:L,12,0))="O",texty!$A$250,""),"")</f>
        <v/>
      </c>
      <c r="J58" s="186"/>
      <c r="K58" s="196" t="str">
        <f>IF(D58&gt;0,IF(VLOOKUP(B58,cennik!A:L,12,FALSE)="O",1,""),"")</f>
        <v/>
      </c>
      <c r="L58" s="6"/>
    </row>
    <row r="59" spans="1:12" ht="12.75" customHeight="1">
      <c r="A59" s="21"/>
      <c r="B59" s="21"/>
      <c r="C59" s="456" t="str">
        <f>texty!$A$10</f>
        <v>Potrebná dĺžka tesnenia pri celkovom presklení (nutné objednať celé metre)</v>
      </c>
      <c r="D59" s="453">
        <f>CEILING(((B9+C9)*2/1000*D4),1)</f>
        <v>0</v>
      </c>
      <c r="E59" s="375"/>
      <c r="F59" s="375"/>
      <c r="G59" s="375"/>
      <c r="H59" s="375"/>
      <c r="I59" s="483" t="str">
        <f>IFERROR(IF((VLOOKUP(B59,cennik!A:L,12,0))="O",texty!$A$250,""),"")</f>
        <v/>
      </c>
      <c r="J59" s="186"/>
      <c r="K59" s="196"/>
      <c r="L59" s="6"/>
    </row>
    <row r="60" spans="1:12" ht="12.75" customHeight="1">
      <c r="A60" s="464" t="str">
        <f>texty!$A$12</f>
        <v>(pri kombináciach s H profilmi je nutné pripočítať potrebnú dĺžku - tesnenie musí byť po celom odvode každého skla</v>
      </c>
      <c r="B60" s="465"/>
      <c r="C60" s="466"/>
      <c r="D60" s="465"/>
      <c r="E60" s="455"/>
      <c r="F60" s="455"/>
      <c r="G60" s="455"/>
      <c r="H60" s="375"/>
      <c r="I60" s="483" t="str">
        <f>IFERROR(IF((VLOOKUP(B60,cennik!A:L,12,0))="O",texty!$A$250,""),"")</f>
        <v/>
      </c>
      <c r="J60" s="186"/>
      <c r="K60" s="196" t="str">
        <f>IF(D60&gt;0,IF(VLOOKUP(B60,cennik!A:L,12,FALSE)="O",1,""),"")</f>
        <v/>
      </c>
      <c r="L60" s="6"/>
    </row>
    <row r="61" spans="1:12" ht="12.75" customHeight="1">
      <c r="A61" s="436" t="str">
        <f>System10!A59</f>
        <v>tesnenie na sklo 4mm</v>
      </c>
      <c r="B61" s="17">
        <v>89238</v>
      </c>
      <c r="C61" s="25" t="str">
        <f>+VLOOKUP(B61,cennik!$A:$G,2,FALSE)</f>
        <v>SEVROLL tesnenie na sklo 10/4mm</v>
      </c>
      <c r="D61" s="474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J61" s="186"/>
      <c r="K61" s="196" t="str">
        <f>IF(D61&gt;0,IF(VLOOKUP(B61,cennik!A:L,12,FALSE)="O",1,""),"")</f>
        <v/>
      </c>
      <c r="L61" s="6"/>
    </row>
    <row r="62" spans="1:12" ht="12.75" customHeight="1">
      <c r="A62" s="436" t="str">
        <f>texty!A103</f>
        <v>tesnenie na sklo 4,5 mm</v>
      </c>
      <c r="B62" s="17">
        <v>135164</v>
      </c>
      <c r="C62" s="25" t="str">
        <f>+VLOOKUP(B62,cennik!$A:$G,2,FALSE)</f>
        <v>SEVROLL- TESNENIE NA SKLO 4,5mm</v>
      </c>
      <c r="D62" s="474"/>
      <c r="E62" s="92">
        <f>+VLOOKUP(B62,cennik!$A:$G,3,FALSE)</f>
        <v>0.79542999999999997</v>
      </c>
      <c r="F62" s="97">
        <f>+CEILING(D62,1)*E62</f>
        <v>0</v>
      </c>
      <c r="G62" s="93">
        <f>+F62*(100-$G$26)/100</f>
        <v>0</v>
      </c>
      <c r="H62" s="24" t="str">
        <f>cennik!$B$2</f>
        <v>EUR</v>
      </c>
      <c r="I62" s="483" t="str">
        <f>IFERROR(IF((VLOOKUP(B62,cennik!A:L,12,0))="O",texty!$A$250,""),"")</f>
        <v/>
      </c>
      <c r="J62" s="186"/>
      <c r="K62" s="196" t="str">
        <f>IF(D62&gt;0,IF(VLOOKUP(B62,cennik!A:L,12,FALSE)="O",1,""),"")</f>
        <v/>
      </c>
      <c r="L62" s="3"/>
    </row>
    <row r="63" spans="1:12" ht="12.75" customHeight="1">
      <c r="A63" s="436" t="str">
        <f>System10!A61</f>
        <v>tesnenie na sklo 6mm</v>
      </c>
      <c r="B63" s="17">
        <v>89243</v>
      </c>
      <c r="C63" s="25" t="str">
        <f>+VLOOKUP(B63,cennik!$A:$G,2,FALSE)</f>
        <v>SEVROLL tesnenie na sklo 10/6mm</v>
      </c>
      <c r="D63" s="474"/>
      <c r="E63" s="92">
        <f>+VLOOKUP(B63,cennik!$A:$G,3,FALSE)</f>
        <v>0.89917999999999998</v>
      </c>
      <c r="F63" s="97">
        <f>+CEILING(D63,1)*E63</f>
        <v>0</v>
      </c>
      <c r="G63" s="93">
        <f>+F63*(100-$G$26)/100</f>
        <v>0</v>
      </c>
      <c r="H63" s="24" t="str">
        <f>cennik!$B$2</f>
        <v>EUR</v>
      </c>
      <c r="I63" s="483" t="str">
        <f>IFERROR(IF((VLOOKUP(B63,cennik!A:L,12,0))="O",texty!$A$250,""),"")</f>
        <v/>
      </c>
      <c r="J63" s="186"/>
      <c r="K63" s="196" t="str">
        <f>IF(D63&gt;0,IF(VLOOKUP(B63,cennik!A:L,12,FALSE)="O",1,""),"")</f>
        <v/>
      </c>
      <c r="L63" s="6"/>
    </row>
    <row r="64" spans="1:12" ht="16">
      <c r="A64" s="285" t="str">
        <f>texty!$A$190</f>
        <v>Ďalšie príslušenstvo</v>
      </c>
      <c r="B64" s="21"/>
      <c r="C64" s="21"/>
      <c r="D64" s="21"/>
      <c r="E64" s="375"/>
      <c r="F64" s="375"/>
      <c r="G64" s="375"/>
      <c r="H64" s="24"/>
      <c r="I64" s="483" t="str">
        <f>IFERROR(IF((VLOOKUP(B64,cennik!A:L,12,0))="O",texty!$A$250,""),"")</f>
        <v/>
      </c>
      <c r="J64" s="186"/>
      <c r="K64" s="196" t="str">
        <f>IF(D64&gt;0,IF(VLOOKUP(B64,cennik!A:L,12,FALSE)="O",1,""),"")</f>
        <v/>
      </c>
    </row>
    <row r="65" spans="1:14" ht="12.75" customHeight="1">
      <c r="A65" s="285" t="str">
        <f>texty!$A$244</f>
        <v>Technický nákres tohoto systému</v>
      </c>
      <c r="B65" s="484">
        <v>129677</v>
      </c>
      <c r="C65" s="467" t="str">
        <f>VLOOKUP(B65,cennik!A:C,2,0)</f>
        <v>SEVROLL-MONT.PRÍPRAVOK NA DTD 10mm MALÝ</v>
      </c>
      <c r="D65" s="474"/>
      <c r="E65" s="92">
        <f>+VLOOKUP(B65,cennik!$A:$G,3,FALSE)</f>
        <v>5.60419</v>
      </c>
      <c r="F65" s="97">
        <f>+CEILING(D65,1)*E65</f>
        <v>0</v>
      </c>
      <c r="G65" s="93">
        <f>+F65</f>
        <v>0</v>
      </c>
      <c r="H65" s="24" t="str">
        <f>cennik!$B$2</f>
        <v>EUR</v>
      </c>
      <c r="I65" s="483" t="str">
        <f>IFERROR(IF((VLOOKUP(B65,cennik!A:L,12,0))="O",texty!$A$250,""),"")</f>
        <v/>
      </c>
      <c r="J65" s="186"/>
      <c r="K65" s="196" t="str">
        <f>IF(D65&gt;0,IF(VLOOKUP(B65,cennik!A:L,12,FALSE)="O",1,""),"")</f>
        <v/>
      </c>
    </row>
    <row r="66" spans="1:14" ht="12.75" customHeight="1">
      <c r="A66" s="21"/>
      <c r="B66" s="484">
        <v>128842</v>
      </c>
      <c r="C66" s="467" t="str">
        <f>VLOOKUP(B66,cennik!A:C,2,0)</f>
        <v>SEVROLL-VRTÁK STUPŇOVITÝ 6,5/9,5mm</v>
      </c>
      <c r="D66" s="474"/>
      <c r="E66" s="92">
        <f>+VLOOKUP(B66,cennik!$A:$G,3,FALSE)</f>
        <v>23.986910000000002</v>
      </c>
      <c r="F66" s="97">
        <f>+CEILING(D66,1)*E66</f>
        <v>0</v>
      </c>
      <c r="G66" s="93">
        <f>+F66</f>
        <v>0</v>
      </c>
      <c r="H66" s="24" t="str">
        <f>cennik!$B$2</f>
        <v>EUR</v>
      </c>
      <c r="I66" s="483" t="str">
        <f>IFERROR(IF((VLOOKUP(B66,cennik!A:L,12,0))="O",texty!$A$250,""),"")</f>
        <v/>
      </c>
      <c r="J66" s="186"/>
      <c r="K66" s="196" t="str">
        <f>IF(D66&gt;0,IF(VLOOKUP(B66,cennik!A:L,12,FALSE)="O",1,""),"")</f>
        <v/>
      </c>
    </row>
    <row r="67" spans="1:14" ht="12.75" customHeight="1">
      <c r="A67" s="646" t="str">
        <f>IF(SUM(D50:D51)&gt;0,IF(C7&lt;(B4/3),texty!$A$212,""),"")</f>
        <v/>
      </c>
      <c r="B67" s="646"/>
      <c r="C67" s="646"/>
      <c r="D67" s="646"/>
      <c r="E67" s="646"/>
      <c r="F67" s="646"/>
      <c r="G67" s="646"/>
      <c r="H67" s="646"/>
      <c r="I67" s="646"/>
      <c r="J67" s="286"/>
      <c r="K67" s="135"/>
    </row>
    <row r="68" spans="1:14" ht="12.75" customHeight="1">
      <c r="A68" s="21"/>
      <c r="B68" s="17"/>
      <c r="C68" s="17"/>
      <c r="D68" s="469" t="str">
        <f>texty!$A$15</f>
        <v>CELKOM  (bez DPH)</v>
      </c>
      <c r="E68" s="455"/>
      <c r="F68" s="102">
        <f>SUM(F28:F66)</f>
        <v>83.231089999999995</v>
      </c>
      <c r="G68" s="102">
        <f>SUM(G28:G66)</f>
        <v>83.231089999999995</v>
      </c>
      <c r="H68" s="24" t="str">
        <f>cennik!$B$2</f>
        <v>EUR</v>
      </c>
      <c r="I68" s="24"/>
      <c r="J68" s="186"/>
      <c r="K68" s="186"/>
      <c r="L68" s="5" t="str">
        <f>data!J4</f>
        <v xml:space="preserve">strieborná </v>
      </c>
      <c r="M68" s="21" t="s">
        <v>2884</v>
      </c>
    </row>
    <row r="69" spans="1:14" ht="12.75" customHeight="1">
      <c r="A69" s="456" t="str">
        <f>System10!$A$67</f>
        <v>Vaša poznámka:</v>
      </c>
      <c r="B69" s="650"/>
      <c r="C69" s="651"/>
      <c r="D69" s="651"/>
      <c r="E69" s="651"/>
      <c r="F69" s="651"/>
      <c r="G69" s="652"/>
      <c r="H69" s="24"/>
      <c r="I69" s="24"/>
      <c r="L69" s="5" t="str">
        <f>data!J6</f>
        <v>oliva</v>
      </c>
      <c r="M69" s="21" t="s">
        <v>45</v>
      </c>
    </row>
    <row r="70" spans="1:14" ht="12.75" customHeight="1">
      <c r="A70" s="639">
        <f>profil!$U$15</f>
        <v>0</v>
      </c>
      <c r="B70" s="640"/>
      <c r="C70" s="640"/>
      <c r="D70" s="640"/>
      <c r="E70" s="640"/>
      <c r="F70" s="640"/>
      <c r="G70" s="640"/>
      <c r="H70" s="640"/>
      <c r="I70" s="24"/>
      <c r="L70" s="5" t="str">
        <f>data!$J$15</f>
        <v>biela lesk</v>
      </c>
      <c r="M70" s="21"/>
    </row>
    <row r="71" spans="1:14" ht="12.75" customHeight="1">
      <c r="A71" s="641" t="str">
        <f>IF(N71=1,texty!$A$215,IF(K71&gt;0,texty!$A$214,""))</f>
        <v/>
      </c>
      <c r="B71" s="641"/>
      <c r="C71" s="641"/>
      <c r="D71" s="641"/>
      <c r="E71" s="641"/>
      <c r="F71" s="641"/>
      <c r="G71" s="641"/>
      <c r="H71" s="641"/>
      <c r="I71" s="24"/>
      <c r="K71" s="6">
        <f>SUM(K28:K66)</f>
        <v>0</v>
      </c>
      <c r="N71" s="5">
        <f>IF(ISERROR(K71),1,0)</f>
        <v>0</v>
      </c>
    </row>
    <row r="72" spans="1:14" ht="12.75" customHeight="1"/>
    <row r="73" spans="1:14" ht="12.75" hidden="1" customHeight="1">
      <c r="L73" s="5" t="str">
        <f>data!J9</f>
        <v>kart. čierna</v>
      </c>
    </row>
    <row r="74" spans="1:14" ht="12.75" hidden="1" customHeight="1">
      <c r="L74" s="5" t="str">
        <f>data!J15</f>
        <v>biela lesk</v>
      </c>
    </row>
    <row r="75" spans="1:14" ht="12.75" hidden="1" customHeight="1">
      <c r="L75" s="5" t="str">
        <f>data!J16</f>
        <v>čierna lesk</v>
      </c>
    </row>
    <row r="76" spans="1:14" ht="12.75" hidden="1" customHeight="1">
      <c r="L76" s="5" t="str">
        <f>data!J17</f>
        <v>čierna mat</v>
      </c>
    </row>
  </sheetData>
  <sheetProtection algorithmName="SHA-512" hashValue="tcMiV8YNE/IkSuAWDmU54jt9PUM15+I1Wf9hjpWHDa6GFWn0fodlMV2uj3bmed/mckmN+AXM31eMUFmw8pt82w==" saltValue="/IzHYRvADPw+208k/fcqTg==" spinCount="100000" sheet="1" objects="1" scenarios="1"/>
  <mergeCells count="13">
    <mergeCell ref="U6:U7"/>
    <mergeCell ref="G4:I6"/>
    <mergeCell ref="B5:F5"/>
    <mergeCell ref="R6:R7"/>
    <mergeCell ref="S6:S7"/>
    <mergeCell ref="T6:T7"/>
    <mergeCell ref="A71:H71"/>
    <mergeCell ref="A14:B15"/>
    <mergeCell ref="I19:I20"/>
    <mergeCell ref="I21:I22"/>
    <mergeCell ref="A67:I67"/>
    <mergeCell ref="B69:G69"/>
    <mergeCell ref="A70:H70"/>
  </mergeCells>
  <conditionalFormatting sqref="D54">
    <cfRule type="expression" dxfId="358" priority="9" stopIfTrue="1">
      <formula>IF($D$53&gt;0,IF($D$54=0,1,0),0)</formula>
    </cfRule>
  </conditionalFormatting>
  <conditionalFormatting sqref="D6">
    <cfRule type="expression" dxfId="357" priority="7">
      <formula>$D$4=4</formula>
    </cfRule>
    <cfRule type="expression" dxfId="356" priority="8">
      <formula>$D$4&lt;&gt;4</formula>
    </cfRule>
  </conditionalFormatting>
  <conditionalFormatting sqref="G4">
    <cfRule type="expression" dxfId="355" priority="6">
      <formula>$D$4=4</formula>
    </cfRule>
  </conditionalFormatting>
  <conditionalFormatting sqref="I19:I20">
    <cfRule type="expression" dxfId="354" priority="4">
      <formula>$F$4=$M$69</formula>
    </cfRule>
  </conditionalFormatting>
  <conditionalFormatting sqref="I21:I22">
    <cfRule type="expression" dxfId="353" priority="5">
      <formula>$F$4=$M$68</formula>
    </cfRule>
  </conditionalFormatting>
  <conditionalFormatting sqref="A14">
    <cfRule type="expression" dxfId="352" priority="3">
      <formula>SUM($D$47:$D$48)&gt;0</formula>
    </cfRule>
  </conditionalFormatting>
  <dataValidations count="7">
    <dataValidation type="list" allowBlank="1" showInputMessage="1" showErrorMessage="1" sqref="F4" xr:uid="{F9B4D27F-7AB3-40D1-AC19-D30F3A35EC10}">
      <formula1>$M$68:$M$69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E6:F6" xr:uid="{E32435ED-AC49-4DD2-A80D-811EBC674518}">
      <formula1>"stříbrná,zlatá,oliva"</formula1>
      <formula2>0</formula2>
    </dataValidation>
    <dataValidation type="decimal" allowBlank="1" showInputMessage="1" showErrorMessage="1" errorTitle="Nelze" error="Maximální výška je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$L$68:$L$70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12E2A53-5474-40D8-B522-4E2C36CF7AD4}">
            <xm:f>$I28=texty!$A$250</xm:f>
            <x14:dxf>
              <font>
                <color rgb="FFFF0000"/>
              </font>
            </x14:dxf>
          </x14:cfRule>
          <xm:sqref>I28:I66</xm:sqref>
        </x14:conditionalFormatting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A28:H66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="85" zoomScaleNormal="85" workbookViewId="0">
      <selection activeCell="E4" sqref="E4"/>
    </sheetView>
  </sheetViews>
  <sheetFormatPr baseColWidth="10" defaultColWidth="0" defaultRowHeight="12.75" customHeight="1"/>
  <cols>
    <col min="1" max="1" width="39.5" style="21" customWidth="1"/>
    <col min="2" max="2" width="15.83203125" style="21" customWidth="1"/>
    <col min="3" max="3" width="40.33203125" style="21" customWidth="1"/>
    <col min="4" max="7" width="14.6640625" style="21" customWidth="1"/>
    <col min="8" max="8" width="8.1640625" style="21" bestFit="1" customWidth="1"/>
    <col min="9" max="9" width="24.83203125" style="24" customWidth="1"/>
    <col min="10" max="11" width="13.83203125" style="24" hidden="1" customWidth="1"/>
    <col min="12" max="12" width="9.1640625" style="21" hidden="1" customWidth="1"/>
    <col min="13" max="13" width="8.1640625" style="21" hidden="1" customWidth="1"/>
    <col min="14" max="14" width="11.5" style="21" hidden="1" customWidth="1"/>
    <col min="15" max="15" width="7.1640625" style="21" hidden="1" customWidth="1"/>
    <col min="16" max="16" width="8.6640625" style="21" hidden="1" customWidth="1"/>
    <col min="17" max="17" width="7.1640625" style="21" hidden="1" customWidth="1"/>
    <col min="18" max="16384" width="9.1640625" style="21" hidden="1"/>
  </cols>
  <sheetData>
    <row r="1" spans="1:22" ht="13.5" customHeight="1" thickBot="1">
      <c r="A1" s="436"/>
      <c r="B1" s="17"/>
      <c r="C1" s="17"/>
      <c r="D1" s="17"/>
      <c r="E1" s="17"/>
      <c r="F1" s="17"/>
      <c r="G1" s="24"/>
      <c r="H1" s="24"/>
      <c r="L1" s="24">
        <v>2</v>
      </c>
      <c r="M1" s="21">
        <v>-8.75</v>
      </c>
    </row>
    <row r="2" spans="1:22" ht="18.75" customHeight="1">
      <c r="A2" s="538" t="s">
        <v>7988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L2" s="24">
        <v>3</v>
      </c>
    </row>
    <row r="3" spans="1:22" ht="28.5" customHeight="1" thickBot="1">
      <c r="A3" s="539"/>
      <c r="B3" s="434" t="str">
        <f>CONCATENATE(texty!A34," / max.          2 740 mm /")</f>
        <v>výška / max.          2 740 mm /</v>
      </c>
      <c r="C3" s="435" t="str">
        <f>CONCATENATE(texty!A35," / max 6 000 mm /")</f>
        <v>šírka / max 6 000 mm /</v>
      </c>
      <c r="D3" s="435" t="str">
        <f>+System10!D3</f>
        <v>počet dverí:</v>
      </c>
      <c r="E3" s="435" t="str">
        <f>+System10!E3</f>
        <v>farba</v>
      </c>
      <c r="F3" s="434" t="str">
        <f>texty!B38</f>
        <v>typ spodního vedení</v>
      </c>
      <c r="G3" s="24"/>
      <c r="H3" s="24"/>
      <c r="L3" s="24"/>
    </row>
    <row r="4" spans="1:22" ht="18" customHeight="1">
      <c r="A4" s="437" t="str">
        <f>+System10!A4</f>
        <v>VNÚTORNÝ ROZMER SKRINE:</v>
      </c>
      <c r="B4" s="470"/>
      <c r="C4" s="470"/>
      <c r="D4" s="471">
        <v>3</v>
      </c>
      <c r="E4" s="471" t="s">
        <v>416</v>
      </c>
      <c r="F4" s="472" t="s">
        <v>45</v>
      </c>
      <c r="G4" s="653"/>
      <c r="H4" s="653"/>
      <c r="I4" s="653"/>
      <c r="K4" s="17">
        <f>IF(C4&lt;1701,1700,IF(C4&lt;2351,2350,IF(C4&lt;3001,3000,IF(C4&lt;4051,4050,6000))))</f>
        <v>1700</v>
      </c>
      <c r="M4" s="17">
        <f>IF(C4&lt;1701,1700,IF(C4&lt;2351,2350,IF(C4&lt;3001,3000,IF(C4&lt;4051,4050,6000))))</f>
        <v>1700</v>
      </c>
    </row>
    <row r="5" spans="1:22" ht="18" customHeight="1">
      <c r="A5" s="437"/>
      <c r="B5" s="649" t="str">
        <f>+System10!$B$5</f>
        <v>vypíšte týchto 5 políčok !!! Údaje v mm</v>
      </c>
      <c r="C5" s="649"/>
      <c r="D5" s="649"/>
      <c r="E5" s="649"/>
      <c r="F5" s="649"/>
      <c r="G5" s="653"/>
      <c r="H5" s="653"/>
      <c r="I5" s="653"/>
      <c r="K5" s="23" t="str">
        <f>CONCATENATE(K4,"-",E4)</f>
        <v xml:space="preserve">1700-strieborná </v>
      </c>
      <c r="M5" s="23" t="str">
        <f>CONCATENATE(M4,"-",E4,", ",F4)</f>
        <v>1700-strieborná , Gemini</v>
      </c>
    </row>
    <row r="6" spans="1:22" ht="18" customHeight="1">
      <c r="A6" s="437"/>
      <c r="B6" s="445" t="str">
        <f>IF(D4=4,texty!A227,"")</f>
        <v/>
      </c>
      <c r="D6" s="457">
        <v>3</v>
      </c>
      <c r="E6" s="17"/>
      <c r="F6" s="17"/>
      <c r="G6" s="653"/>
      <c r="H6" s="653"/>
      <c r="I6" s="653"/>
      <c r="K6" s="475"/>
      <c r="L6" s="24"/>
      <c r="R6" s="654" t="s">
        <v>646</v>
      </c>
      <c r="S6" s="654" t="s">
        <v>647</v>
      </c>
      <c r="T6" s="654" t="s">
        <v>648</v>
      </c>
      <c r="U6" s="654" t="s">
        <v>649</v>
      </c>
    </row>
    <row r="7" spans="1:22" ht="12.75" customHeight="1">
      <c r="A7" s="437" t="str">
        <f>+System10!A7</f>
        <v>krídlo dverí:</v>
      </c>
      <c r="B7" s="57">
        <f>+B4-40</f>
        <v>-40</v>
      </c>
      <c r="C7" s="59">
        <f>+(C4-3+(30*(D4-1)))/D4+IF(AND(D4=4,D6=2),M1,0)</f>
        <v>19</v>
      </c>
      <c r="D7" s="17"/>
      <c r="E7" s="17"/>
      <c r="F7" s="17"/>
      <c r="G7" s="448" t="str">
        <f>texty!$A$39</f>
        <v>V prípade použitia skla ako výplne</v>
      </c>
      <c r="H7" s="24"/>
      <c r="L7" s="24"/>
      <c r="O7" s="17">
        <f>IF(L11="jiné",M12,L11)</f>
        <v>1700</v>
      </c>
      <c r="P7" s="21" t="str">
        <f>+E4</f>
        <v xml:space="preserve">strieborná </v>
      </c>
      <c r="R7" s="654"/>
      <c r="S7" s="654"/>
      <c r="T7" s="654"/>
      <c r="U7" s="654"/>
    </row>
    <row r="8" spans="1:22" ht="12.75" customHeight="1">
      <c r="A8" s="437" t="str">
        <f>+System10!A8</f>
        <v>rozmer výplne 10 mm:</v>
      </c>
      <c r="B8" s="57">
        <f>+B7-64</f>
        <v>-104</v>
      </c>
      <c r="C8" s="59">
        <f>+C7-41</f>
        <v>-22</v>
      </c>
      <c r="D8" s="17"/>
      <c r="E8" s="17"/>
      <c r="F8" s="17"/>
      <c r="G8" s="448" t="str">
        <f>texty!$A$40</f>
        <v>je treba použiť bezpečnostné sklo</v>
      </c>
      <c r="H8" s="24"/>
      <c r="L8" s="24" t="s">
        <v>73</v>
      </c>
      <c r="M8" s="21" t="s">
        <v>74</v>
      </c>
      <c r="O8" s="23" t="str">
        <f>CONCATENATE(O7,"-",E4)</f>
        <v xml:space="preserve">1700-strieborná </v>
      </c>
      <c r="Q8" s="21">
        <v>1</v>
      </c>
      <c r="R8" s="476">
        <f>$C$10+5</f>
        <v>-34</v>
      </c>
      <c r="S8" s="21">
        <f>FLOOR(1700/R8,1)</f>
        <v>-50</v>
      </c>
      <c r="T8" s="21">
        <f>FLOOR(2350/R8,1)</f>
        <v>-70</v>
      </c>
      <c r="U8" s="21">
        <f>FLOOR(3000/R8,1)</f>
        <v>-89</v>
      </c>
    </row>
    <row r="9" spans="1:22" ht="12.75" customHeight="1">
      <c r="A9" s="437" t="str">
        <f>+System10!A9</f>
        <v>rozmer zrkadla / skla</v>
      </c>
      <c r="B9" s="57">
        <f>+B8</f>
        <v>-104</v>
      </c>
      <c r="C9" s="59">
        <f>+C8-4</f>
        <v>-26</v>
      </c>
      <c r="D9" s="17"/>
      <c r="E9" s="17"/>
      <c r="F9" s="17"/>
      <c r="G9" s="448" t="str">
        <f>texty!$A$41</f>
        <v>alebo sklo zabezpečiť ochrannou fóliou</v>
      </c>
      <c r="H9" s="24"/>
      <c r="L9" s="477">
        <f>C10*D4</f>
        <v>-117</v>
      </c>
      <c r="M9" s="478">
        <f>(D4+1)*5</f>
        <v>20</v>
      </c>
      <c r="Q9" s="21">
        <v>2</v>
      </c>
      <c r="R9" s="476">
        <f t="shared" ref="R9:R14" si="0">R8+$C$10+5</f>
        <v>-68</v>
      </c>
      <c r="S9" s="21">
        <f>(1700-C10)*S17</f>
        <v>-1739</v>
      </c>
      <c r="T9" s="21">
        <f>(2350-C10)*T17</f>
        <v>-2389</v>
      </c>
      <c r="U9" s="21">
        <f>(3000-C10)*U17</f>
        <v>-3039</v>
      </c>
      <c r="V9" s="21" t="s">
        <v>651</v>
      </c>
    </row>
    <row r="10" spans="1:22" ht="12.75" customHeight="1">
      <c r="A10" s="437" t="str">
        <f>+System10!A10</f>
        <v>dĺžka vodiacej a krycej lišty krídla</v>
      </c>
      <c r="B10" s="57"/>
      <c r="C10" s="60">
        <f>+C7-58</f>
        <v>-39</v>
      </c>
      <c r="D10" s="17"/>
      <c r="E10" s="17"/>
      <c r="F10" s="17"/>
      <c r="G10" s="449"/>
      <c r="H10" s="24"/>
      <c r="L10" s="21" t="s">
        <v>72</v>
      </c>
      <c r="O10" s="17" t="str">
        <f>IF(L11="jiné",M13,"")</f>
        <v/>
      </c>
      <c r="P10" s="21" t="str">
        <f>+E4</f>
        <v xml:space="preserve">strieborná </v>
      </c>
      <c r="Q10" s="21">
        <v>3</v>
      </c>
      <c r="R10" s="476">
        <f t="shared" si="0"/>
        <v>-102</v>
      </c>
    </row>
    <row r="11" spans="1:22" ht="12.75" customHeight="1">
      <c r="A11" s="437" t="str">
        <f>+System10!$A$11</f>
        <v>Horný/spodný profil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L11" s="478">
        <f>IF((L9+M9)&lt;1700,1700,IF((L9+M9)&lt;2350,2350,IF((L9+M9)&lt;3000,3000,"jiné")))</f>
        <v>1700</v>
      </c>
      <c r="N11" s="21" t="s">
        <v>75</v>
      </c>
      <c r="O11" s="23" t="str">
        <f>CONCATENATE(O10,"-",E4)</f>
        <v xml:space="preserve">-strieborná </v>
      </c>
      <c r="Q11" s="21">
        <v>4</v>
      </c>
      <c r="R11" s="476">
        <f t="shared" si="0"/>
        <v>-136</v>
      </c>
    </row>
    <row r="12" spans="1:22" ht="12.75" customHeight="1">
      <c r="A12" s="437" t="str">
        <f>+System10!A12</f>
        <v>úchytková lišta</v>
      </c>
      <c r="B12" s="502">
        <f>+B7</f>
        <v>-40</v>
      </c>
      <c r="C12" s="503"/>
      <c r="D12" s="17"/>
      <c r="E12" s="17"/>
      <c r="F12" s="17"/>
      <c r="G12" s="24"/>
      <c r="H12" s="24"/>
      <c r="L12" s="24">
        <f>C10*(D4-1)+(D4*5)</f>
        <v>-63</v>
      </c>
      <c r="M12" s="21">
        <f>IF(L12&lt;1700,1700,IF(L12&lt;2350,2350,IF(L12&lt;3000,3000,3000)))</f>
        <v>1700</v>
      </c>
      <c r="N12" s="21">
        <f>M12-L12</f>
        <v>1763</v>
      </c>
      <c r="Q12" s="21">
        <v>5</v>
      </c>
      <c r="R12" s="476">
        <f t="shared" si="0"/>
        <v>-170</v>
      </c>
    </row>
    <row r="13" spans="1:22" ht="12.75" customHeight="1">
      <c r="A13" s="436" t="str">
        <f>System10!A13</f>
        <v>Dĺžka tesnenia na sklo na jednom krídle</v>
      </c>
      <c r="B13" s="58"/>
      <c r="C13" s="145">
        <f>ROUND(B8*2+C9*2,0)</f>
        <v>-260</v>
      </c>
      <c r="D13" s="17"/>
      <c r="E13" s="17"/>
      <c r="F13" s="17"/>
      <c r="G13" s="24"/>
      <c r="H13" s="24"/>
      <c r="L13" s="479">
        <f>C10+10</f>
        <v>-29</v>
      </c>
      <c r="M13" s="21">
        <f>IF(N12&gt;=0,IF(L13&lt;1700,1700,IF(L13&lt;2350,2350,IF(L13&lt;3000,3000,"jiné"))),IF((L13+C10)&lt;1700,1700,IF((L13+C10)&lt;2350,2350,IF((L13+C10)&lt;3000,3000,"jiné"))))</f>
        <v>1700</v>
      </c>
      <c r="N13" s="21">
        <f>M13-L13</f>
        <v>1729</v>
      </c>
      <c r="Q13" s="21">
        <v>6</v>
      </c>
      <c r="R13" s="476">
        <f t="shared" si="0"/>
        <v>-204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L14" s="24"/>
      <c r="M14" s="21">
        <f>SUM(M12:M13)</f>
        <v>3400</v>
      </c>
      <c r="N14" s="21">
        <f>SUM(N12:N13)</f>
        <v>3492</v>
      </c>
      <c r="Q14" s="21">
        <v>7</v>
      </c>
      <c r="R14" s="476">
        <f t="shared" si="0"/>
        <v>-238</v>
      </c>
    </row>
    <row r="15" spans="1:22" ht="18.75" customHeight="1">
      <c r="A15" s="644"/>
      <c r="B15" s="644"/>
      <c r="C15" s="504"/>
      <c r="D15" s="17"/>
      <c r="E15" s="17"/>
      <c r="F15" s="17"/>
      <c r="G15" s="24"/>
      <c r="H15" s="24"/>
      <c r="L15" s="24"/>
      <c r="R15" s="476"/>
    </row>
    <row r="16" spans="1:22" ht="13">
      <c r="A16" s="436"/>
      <c r="B16" s="17"/>
      <c r="C16" s="504"/>
      <c r="D16" s="17"/>
      <c r="E16" s="17"/>
      <c r="F16" s="17"/>
      <c r="G16" s="24"/>
      <c r="H16" s="24"/>
      <c r="L16" s="24"/>
      <c r="R16" s="476"/>
    </row>
    <row r="17" spans="1:22" ht="12.75" customHeight="1">
      <c r="A17" s="5"/>
      <c r="B17" s="17"/>
      <c r="C17" s="447"/>
      <c r="D17" s="17"/>
      <c r="E17" s="17"/>
      <c r="F17" s="17"/>
      <c r="G17" s="24"/>
      <c r="H17" s="24"/>
      <c r="L17" s="24"/>
      <c r="M17" s="21">
        <f>M14-C4</f>
        <v>3400</v>
      </c>
      <c r="Q17" s="21" t="s">
        <v>650</v>
      </c>
      <c r="S17" s="21">
        <f>FLOOR($D$4/S8,1)</f>
        <v>-1</v>
      </c>
      <c r="T17" s="21">
        <f>FLOOR($D$4/T8,1)</f>
        <v>-1</v>
      </c>
      <c r="U17" s="21">
        <f>FLOOR($D$4/U8,1)</f>
        <v>-1</v>
      </c>
    </row>
    <row r="18" spans="1:22" ht="22.5" customHeight="1">
      <c r="A18" s="436"/>
      <c r="B18" s="17"/>
      <c r="C18" s="447"/>
      <c r="D18" s="17"/>
      <c r="E18" s="17"/>
      <c r="F18" s="17"/>
      <c r="G18" s="24"/>
      <c r="H18" s="24"/>
      <c r="L18" s="24"/>
    </row>
    <row r="19" spans="1:22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24"/>
    </row>
    <row r="20" spans="1:22" ht="16.5" customHeight="1">
      <c r="A20" s="436"/>
      <c r="B20" s="17"/>
      <c r="C20" s="17"/>
      <c r="E20" s="17"/>
      <c r="F20" s="17"/>
      <c r="G20" s="24"/>
      <c r="H20" s="24"/>
      <c r="I20" s="647"/>
      <c r="L20" s="24"/>
      <c r="M20" s="24"/>
      <c r="R20" s="21" t="s">
        <v>694</v>
      </c>
      <c r="S20" s="21" t="s">
        <v>693</v>
      </c>
      <c r="T20" s="21">
        <v>1700</v>
      </c>
      <c r="U20" s="21">
        <v>2350</v>
      </c>
      <c r="V20" s="21">
        <v>3000</v>
      </c>
    </row>
    <row r="21" spans="1:22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24"/>
      <c r="Q21" s="21">
        <v>1</v>
      </c>
      <c r="R21" s="21">
        <f>S8</f>
        <v>-50</v>
      </c>
      <c r="S21" s="21" t="str">
        <f>IF(R21&gt;=D4,1,"")</f>
        <v/>
      </c>
      <c r="T21" s="480" t="str">
        <f>IF(S21=1,1,"")</f>
        <v/>
      </c>
      <c r="U21" s="480"/>
      <c r="V21" s="480"/>
    </row>
    <row r="22" spans="1:22" ht="13">
      <c r="A22" s="436"/>
      <c r="B22" s="17"/>
      <c r="C22" s="17"/>
      <c r="D22" s="17"/>
      <c r="E22" s="17"/>
      <c r="F22" s="17"/>
      <c r="G22" s="24"/>
      <c r="H22" s="24"/>
      <c r="I22" s="648"/>
      <c r="L22" s="23"/>
      <c r="Q22" s="21">
        <v>2</v>
      </c>
      <c r="R22" s="21">
        <f>T8</f>
        <v>-70</v>
      </c>
      <c r="S22" s="21" t="str">
        <f>IF(R22&gt;=D4,IF(S21=1,"",1),"")</f>
        <v/>
      </c>
      <c r="T22" s="480"/>
      <c r="U22" s="480" t="str">
        <f>IF(S22=1,1,"")</f>
        <v/>
      </c>
      <c r="V22" s="480"/>
    </row>
    <row r="23" spans="1:22" ht="12.75" customHeight="1">
      <c r="A23" s="436"/>
      <c r="B23" s="17"/>
      <c r="C23" s="17"/>
      <c r="D23" s="17"/>
      <c r="E23" s="17"/>
      <c r="F23" s="17"/>
      <c r="G23" s="24"/>
      <c r="H23" s="24"/>
      <c r="Q23" s="21">
        <v>3</v>
      </c>
      <c r="R23" s="21">
        <f>U8</f>
        <v>-89</v>
      </c>
      <c r="S23" s="21" t="str">
        <f>IF(R23&gt;=D4,IF(R22&gt;=D4,"",1),"")</f>
        <v/>
      </c>
      <c r="V23" s="480" t="str">
        <f>IF(S23=1,1,"")</f>
        <v/>
      </c>
    </row>
    <row r="24" spans="1:22" ht="12.75" customHeight="1">
      <c r="A24" s="436"/>
      <c r="B24" s="17"/>
      <c r="C24" s="17"/>
      <c r="D24" s="17"/>
      <c r="E24" s="17"/>
      <c r="F24" s="17"/>
      <c r="G24" s="24"/>
      <c r="H24" s="24"/>
      <c r="L24" s="21" t="str">
        <f>CONCATENATE(N24,"-",$P$7)</f>
        <v xml:space="preserve">1700-strieborná </v>
      </c>
      <c r="M24" s="24">
        <f>SUM(T21:T32)</f>
        <v>0</v>
      </c>
      <c r="N24" s="21">
        <v>1700</v>
      </c>
      <c r="P24" s="21" t="s">
        <v>652</v>
      </c>
      <c r="Q24" s="481" t="s">
        <v>653</v>
      </c>
      <c r="R24" s="21">
        <f>S8+T8</f>
        <v>-120</v>
      </c>
      <c r="S24" s="21" t="str">
        <f>IF(R24&gt;=D4,IF(SUM(S21:S23)&gt;0,"",1),"")</f>
        <v/>
      </c>
      <c r="T24" s="480" t="str">
        <f>IF(S24=1,1,"")</f>
        <v/>
      </c>
      <c r="U24" s="480" t="str">
        <f>IF(S24=1,1,"")</f>
        <v/>
      </c>
    </row>
    <row r="25" spans="1:22" ht="12.75" customHeight="1">
      <c r="A25" s="436"/>
      <c r="B25" s="17"/>
      <c r="D25" s="17"/>
      <c r="E25" s="17"/>
      <c r="F25" s="17"/>
      <c r="G25" s="452" t="str">
        <f>+System10!G25</f>
        <v>partnerská zľava:</v>
      </c>
      <c r="H25" s="24"/>
      <c r="L25" s="21" t="str">
        <f>CONCATENATE(N25,"-",$P$7)</f>
        <v xml:space="preserve">2350-strieborná </v>
      </c>
      <c r="M25" s="24">
        <f>SUM(U21:U32)</f>
        <v>0</v>
      </c>
      <c r="N25" s="21">
        <v>2350</v>
      </c>
      <c r="Q25" s="21" t="s">
        <v>689</v>
      </c>
      <c r="R25" s="21">
        <f>T8+T8</f>
        <v>-140</v>
      </c>
      <c r="S25" s="21" t="str">
        <f>IF(R25&gt;=D4,IF(SUM(S21:S24)&gt;0,"",1),"")</f>
        <v/>
      </c>
      <c r="U25" s="480" t="str">
        <f>IF(S25=1,2,"")</f>
        <v/>
      </c>
    </row>
    <row r="26" spans="1:22" ht="12.75" customHeight="1">
      <c r="A26" s="441" t="str">
        <f>+System10!$A$26</f>
        <v>Objednávacie kódy, ceny:</v>
      </c>
      <c r="B26" s="17"/>
      <c r="D26" s="17"/>
      <c r="E26" s="17"/>
      <c r="F26" s="17"/>
      <c r="G26" s="388">
        <f>profil!C15</f>
        <v>0</v>
      </c>
      <c r="H26" s="454" t="s">
        <v>70</v>
      </c>
      <c r="L26" s="21" t="str">
        <f>CONCATENATE(N26,"-",$P$7)</f>
        <v xml:space="preserve">3000-strieborná </v>
      </c>
      <c r="M26" s="24">
        <f>SUM(V21:V32)</f>
        <v>0</v>
      </c>
      <c r="N26" s="21">
        <v>3000</v>
      </c>
      <c r="O26" s="482"/>
      <c r="Q26" s="21" t="s">
        <v>654</v>
      </c>
      <c r="R26" s="21">
        <f>S8+U8</f>
        <v>-139</v>
      </c>
      <c r="S26" s="21" t="str">
        <f>IF(R26&gt;=D4,IF(SUM(S21:S25)&gt;0,"",1),"")</f>
        <v/>
      </c>
      <c r="T26" s="480" t="str">
        <f>IF(S26=1,1,"")</f>
        <v/>
      </c>
      <c r="V26" s="480" t="str">
        <f>IF(S26=1,1,"")</f>
        <v/>
      </c>
    </row>
    <row r="27" spans="1:22" ht="12.75" customHeight="1">
      <c r="A27" s="436"/>
      <c r="B27" s="19" t="str">
        <f>+System10!B27</f>
        <v>kód</v>
      </c>
      <c r="C27" s="20" t="str">
        <f>+System10!C27</f>
        <v>názov</v>
      </c>
      <c r="D27" s="19" t="str">
        <f>+System10!D27</f>
        <v>ks</v>
      </c>
      <c r="E27" s="19" t="str">
        <f>+System10!E27</f>
        <v>cena/ks</v>
      </c>
      <c r="F27" s="19" t="str">
        <f>+System10!F27</f>
        <v>cena celkom</v>
      </c>
      <c r="G27" s="20" t="str">
        <f>+System10!G27</f>
        <v>celkom netto:</v>
      </c>
      <c r="H27" s="24"/>
      <c r="I27" s="20" t="str">
        <f>texty!A29</f>
        <v>Poznámka:</v>
      </c>
      <c r="J27" s="18"/>
      <c r="L27" s="24"/>
      <c r="M27" s="21">
        <f>COUNT(M24,M25,M26)</f>
        <v>3</v>
      </c>
      <c r="N27" s="482"/>
      <c r="O27" s="482"/>
      <c r="Q27" s="21" t="s">
        <v>655</v>
      </c>
      <c r="R27" s="21">
        <f>T8+U8</f>
        <v>-159</v>
      </c>
      <c r="S27" s="21" t="str">
        <f>IF(R27&gt;=D4,IF(SUM(S21:S26)&gt;0,"",1),"")</f>
        <v/>
      </c>
      <c r="U27" s="480" t="str">
        <f>IF(S27=1,1,"")</f>
        <v/>
      </c>
      <c r="V27" s="480" t="str">
        <f>IF(S27=1,1,"")</f>
        <v/>
      </c>
    </row>
    <row r="28" spans="1:22" ht="12.75" customHeight="1">
      <c r="A28" s="436" t="str">
        <f>texty!$A$81</f>
        <v>Horný profil:</v>
      </c>
      <c r="B28" s="16">
        <f>+VLOOKUP(K5,data!$C$176:$D$190,2,0)</f>
        <v>89106</v>
      </c>
      <c r="C28" s="25" t="str">
        <f>+VLOOKUP(B28,cennik!$A:$G,2,FALSE)</f>
        <v>SEVROLL Gemini horné vedenie 1,7m strieborná</v>
      </c>
      <c r="D28" s="17"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24" t="str">
        <f>cennik!$B$2</f>
        <v>EUR</v>
      </c>
      <c r="I28" s="483" t="str">
        <f>IFERROR(IF((VLOOKUP(B28,cennik!A:L,12,0))="O",texty!$A$250,""),"")</f>
        <v/>
      </c>
      <c r="J28" s="453" t="str">
        <f>IF(D28&gt;0,IF(VLOOKUP(B28,cennik!A:L,12,FALSE)="O",1,""),"")</f>
        <v/>
      </c>
      <c r="K28" s="196" t="str">
        <f>IF(D28&gt;0,IF(VLOOKUP(B28,cennik!A:L,12,FALSE)="O",1,""),"")</f>
        <v/>
      </c>
      <c r="L28" s="24"/>
      <c r="M28" s="482"/>
      <c r="N28" s="482"/>
      <c r="O28" s="482"/>
      <c r="Q28" s="21" t="s">
        <v>690</v>
      </c>
      <c r="R28" s="21">
        <f>U8+U8</f>
        <v>-178</v>
      </c>
      <c r="S28" s="21" t="str">
        <f>IF(R28&gt;=D4,IF(SUM(S21:S27)&gt;0,"",1),"")</f>
        <v/>
      </c>
      <c r="V28" s="480" t="str">
        <f>IF(S28=1,2,"")</f>
        <v/>
      </c>
    </row>
    <row r="29" spans="1:22" ht="12.75" customHeight="1">
      <c r="A29" s="436" t="str">
        <f>texty!$A$82</f>
        <v>spodný profil:</v>
      </c>
      <c r="B29" s="16">
        <f>+VLOOKUP(M5,data!$C$4:$D$73,2,0)</f>
        <v>84410</v>
      </c>
      <c r="C29" s="25" t="str">
        <f>IF($B$29=data!$D$54,texty!$A$239,+VLOOKUP($B$29,cennik!$A$3:$G$907,2,FALSE))</f>
        <v>SEVROLL-Gemini spodné vedenie 1,7m strie</v>
      </c>
      <c r="D29" s="17">
        <v>1</v>
      </c>
      <c r="E29" s="92">
        <f>IF(B29=data!$D$63,0,+VLOOKUP(B29,cennik!$A$3:$G$907,3,FALSE))</f>
        <v>9.6722800000000007</v>
      </c>
      <c r="F29" s="92">
        <f>+E29*D29</f>
        <v>9.6722800000000007</v>
      </c>
      <c r="G29" s="93">
        <f t="shared" si="1"/>
        <v>9.6722800000000007</v>
      </c>
      <c r="H29" s="24" t="str">
        <f>cennik!$B$2</f>
        <v>EUR</v>
      </c>
      <c r="I29" s="483" t="str">
        <f>IFERROR(IF((VLOOKUP(B29,cennik!A:L,12,0))="O",texty!$A$250,""),"")</f>
        <v/>
      </c>
      <c r="J29" s="453" t="str">
        <f>IF(D29&gt;0,IF(VLOOKUP(B29,cennik!A:L,12,FALSE)="O",1,""),"")</f>
        <v/>
      </c>
      <c r="K29" s="196" t="str">
        <f>IF(D29&gt;0,IF(VLOOKUP(B29,cennik!A:L,12,FALSE)="O",1,""),"")</f>
        <v/>
      </c>
      <c r="L29" s="24" t="s">
        <v>656</v>
      </c>
      <c r="M29" s="21" t="str">
        <f>IF(M24=0,IF(M25=0,L26,L25),L24)</f>
        <v xml:space="preserve">3000-strieborná </v>
      </c>
      <c r="N29" s="482">
        <f>IF(M29=L24,M24,IF(M29=L25,M25,IF(M29=L26,M26,"chyba")))</f>
        <v>0</v>
      </c>
      <c r="O29" s="482"/>
      <c r="P29" s="482"/>
      <c r="Q29" s="21" t="s">
        <v>691</v>
      </c>
      <c r="R29" s="21">
        <f>S8+S8+S8</f>
        <v>-150</v>
      </c>
      <c r="S29" s="21" t="str">
        <f>IF(R29&gt;=D4,IF(SUM(S21:S28)&gt;0,"",1),"")</f>
        <v/>
      </c>
      <c r="T29" s="480" t="str">
        <f>IF(S29=1,3,"")</f>
        <v/>
      </c>
    </row>
    <row r="30" spans="1:22" ht="12.75" customHeight="1">
      <c r="A30" s="436" t="str">
        <f>texty!$A$83</f>
        <v>krycí profil (maska):</v>
      </c>
      <c r="B30" s="16" t="str">
        <f>+VLOOKUP(M5,data!$C$90:$D$175,2,0)</f>
        <v>N/A</v>
      </c>
      <c r="C30" s="25" t="str">
        <f>IF($B$30=data!$D$54,texty!$A$239,+VLOOKUP($B$30,cennik!$A$3:$G$907,2,FALSE))</f>
        <v> v tejto farbe a dĺžke sa daný profil nevyrába</v>
      </c>
      <c r="D30" s="17">
        <v>1</v>
      </c>
      <c r="E30" s="92">
        <f>IF(B30=data!$D$63,0,+VLOOKUP(B30,cennik!$A$3:$G$907,3,FALSE))</f>
        <v>0</v>
      </c>
      <c r="F30" s="92">
        <f>+E30*D30</f>
        <v>0</v>
      </c>
      <c r="G30" s="93">
        <f t="shared" si="1"/>
        <v>0</v>
      </c>
      <c r="H30" s="24" t="str">
        <f>cennik!$B$2</f>
        <v>EUR</v>
      </c>
      <c r="I30" s="483" t="str">
        <f>IFERROR(IF((VLOOKUP(B30,cennik!A:L,12,0))="O",texty!$A$250,""),"")</f>
        <v/>
      </c>
      <c r="J30" s="453" t="e">
        <f>IF(D30&gt;0,IF(VLOOKUP(B30,cennik!A:L,12,FALSE)="O",1,""),"")</f>
        <v>#N/A</v>
      </c>
      <c r="K30" s="196" t="e">
        <f>IF(D30&gt;0,IF(VLOOKUP(B30,cennik!A:L,12,FALSE)="O",1,""),"")</f>
        <v>#N/A</v>
      </c>
      <c r="L30" s="24" t="s">
        <v>657</v>
      </c>
      <c r="M30" s="21" t="str">
        <f>IF(M29=L26,"jiné",IF(M29=L24,IF(M25&lt;&gt;0,L25,IF(M26&lt;&gt;0,L26,"jiné")),IF(M26&lt;&gt;0,L26,"jiné")))</f>
        <v>jiné</v>
      </c>
      <c r="N30" s="482">
        <f>IF(M30=L25,M25,IF(M30=L26,M26,IF(M30=L27,M27,0)))</f>
        <v>0</v>
      </c>
      <c r="O30" s="482"/>
      <c r="P30" s="482"/>
      <c r="Q30" s="21" t="s">
        <v>658</v>
      </c>
      <c r="R30" s="21">
        <f>S8+2*T8</f>
        <v>-190</v>
      </c>
      <c r="S30" s="21" t="str">
        <f>IF(R30&gt;=D4,IF(SUM(S21:S29)&gt;0,"",1),"")</f>
        <v/>
      </c>
      <c r="T30" s="480" t="str">
        <f>IF(S30=1,1,"")</f>
        <v/>
      </c>
      <c r="U30" s="480" t="str">
        <f>IF(S30=1,2,"")</f>
        <v/>
      </c>
    </row>
    <row r="31" spans="1:22" ht="12.75" customHeight="1">
      <c r="A31" s="436" t="str">
        <f>texty!$A$84</f>
        <v>horné vozíky (sady)</v>
      </c>
      <c r="B31" s="16">
        <v>228009</v>
      </c>
      <c r="C31" s="25" t="str">
        <f>+VLOOKUP(B31,cennik!$A:$G,2,FALSE)</f>
        <v>SEVROLL horný vozík Gemini symetr.10mm-2ks</v>
      </c>
      <c r="D31" s="17">
        <f>IF((D49+D50)&gt;D4,0,D4-(D49+D50))</f>
        <v>3</v>
      </c>
      <c r="E31" s="92">
        <f>+VLOOKUP(B31,cennik!$A:$G,3,FALSE)</f>
        <v>5.3269799999999998</v>
      </c>
      <c r="F31" s="92">
        <f t="shared" ref="F31:F39" si="2">+E31*D31</f>
        <v>15.98094</v>
      </c>
      <c r="G31" s="93">
        <f t="shared" si="1"/>
        <v>15.98094</v>
      </c>
      <c r="H31" s="24" t="str">
        <f>cennik!$B$2</f>
        <v>EUR</v>
      </c>
      <c r="I31" s="483" t="str">
        <f>IFERROR(IF((VLOOKUP(B31,cennik!A:L,12,0))="O",texty!$A$250,""),"")</f>
        <v/>
      </c>
      <c r="J31" s="453" t="str">
        <f>IF(D31&gt;0,IF(VLOOKUP(B31,cennik!A:L,12,FALSE)="O",1,""),"")</f>
        <v/>
      </c>
      <c r="K31" s="196" t="str">
        <f>IF(D31&gt;0,IF(VLOOKUP(B31,cennik!A:L,12,FALSE)="O",1,""),"")</f>
        <v/>
      </c>
      <c r="L31" s="24"/>
      <c r="M31" s="482"/>
      <c r="N31" s="482"/>
      <c r="O31" s="482"/>
      <c r="P31" s="482"/>
      <c r="Q31" s="21" t="s">
        <v>692</v>
      </c>
      <c r="R31" s="21">
        <f>T8+T8+T8</f>
        <v>-210</v>
      </c>
      <c r="S31" s="21" t="str">
        <f>IF(R31&gt;=D4,IF(SUM(S21:S30)&gt;0,"",1),"")</f>
        <v/>
      </c>
      <c r="U31" s="480" t="str">
        <f>IF(S31=1,3,"")</f>
        <v/>
      </c>
    </row>
    <row r="32" spans="1:22" ht="12.75" customHeight="1">
      <c r="A32" s="436" t="str">
        <f>texty!$A$85</f>
        <v>spodné vozíky (sada)</v>
      </c>
      <c r="B32" s="16">
        <f>IF(F4=M70,328321,229441)</f>
        <v>229441</v>
      </c>
      <c r="C32" s="25" t="str">
        <f>+VLOOKUP(B32,cennik!$A:$G,2,FALSE)</f>
        <v>SEVROLL spodný vozík WD 10C HI-TEC - 2ks</v>
      </c>
      <c r="D32" s="17">
        <f>+D4</f>
        <v>3</v>
      </c>
      <c r="E32" s="92">
        <f>+VLOOKUP(B32,cennik!$A:$G,3,FALSE)</f>
        <v>6.8455399999999997</v>
      </c>
      <c r="F32" s="92">
        <f t="shared" si="2"/>
        <v>20.536619999999999</v>
      </c>
      <c r="G32" s="93">
        <f t="shared" si="1"/>
        <v>20.536619999999999</v>
      </c>
      <c r="H32" s="24" t="str">
        <f>cennik!$B$2</f>
        <v>EUR</v>
      </c>
      <c r="I32" s="483" t="str">
        <f>IFERROR(IF((VLOOKUP(B32,cennik!A:L,12,0))="O",texty!$A$250,""),"")</f>
        <v/>
      </c>
      <c r="J32" s="453" t="str">
        <f>IF(D32&gt;0,IF(VLOOKUP(B32,cennik!A:L,12,FALSE)="O",1,""),"")</f>
        <v/>
      </c>
      <c r="K32" s="196" t="str">
        <f>IF(D32&gt;0,IF(VLOOKUP(B32,cennik!A:L,12,FALSE)="O",1,""),"")</f>
        <v/>
      </c>
      <c r="L32" s="24"/>
      <c r="M32" s="482"/>
      <c r="N32" s="482"/>
      <c r="O32" s="482"/>
      <c r="P32" s="482"/>
      <c r="Q32" s="21" t="s">
        <v>659</v>
      </c>
      <c r="R32" s="21">
        <f>S8+2*U8</f>
        <v>-228</v>
      </c>
      <c r="S32" s="21" t="str">
        <f>IF(R32&gt;=D4,IF(SUM(S21:S31)&gt;0,"",1),"")</f>
        <v/>
      </c>
      <c r="T32" s="480" t="str">
        <f>IF(S32=1,1,"")</f>
        <v/>
      </c>
      <c r="V32" s="480" t="str">
        <f>IF(S32=1,2,"")</f>
        <v/>
      </c>
    </row>
    <row r="33" spans="1:16" ht="12.75" customHeight="1">
      <c r="A33" s="436" t="str">
        <f>+System10!$A$33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24" t="str">
        <f>cennik!$B$2</f>
        <v>EUR</v>
      </c>
      <c r="I33" s="483" t="str">
        <f>IFERROR(IF((VLOOKUP(B33,cennik!A:L,12,0))="O",texty!$A$250,""),"")</f>
        <v/>
      </c>
      <c r="J33" s="453" t="str">
        <f>IF(D33&gt;0,IF(VLOOKUP(B33,cennik!A:L,12,FALSE)="O",1,""),"")</f>
        <v/>
      </c>
      <c r="K33" s="196" t="str">
        <f>IF(D33&gt;0,IF(VLOOKUP(B33,cennik!A:L,12,FALSE)="O",1,""),"")</f>
        <v/>
      </c>
      <c r="L33" s="24"/>
    </row>
    <row r="34" spans="1:16" ht="12.75" customHeight="1">
      <c r="A34" s="436" t="str">
        <f>+System10!$A$34</f>
        <v>úchytková lišta</v>
      </c>
      <c r="B34" s="582">
        <f>+VLOOKUP(P7,data!$C$417:$D$418,2,0)</f>
        <v>394690</v>
      </c>
      <c r="C34" s="25" t="str">
        <f>+VLOOKUP(B34,cennik!$A:$G,2,FALSE)</f>
        <v>SEVROLL ROMEO II ÚCH.LIŠTA 2,7 M STR.</v>
      </c>
      <c r="D34" s="17">
        <f>IF(B12&lt;=1347,D4*2/2,D4*2)</f>
        <v>3</v>
      </c>
      <c r="E34" s="92">
        <f>+VLOOKUP(B34,cennik!$A:$G,3,FALSE)</f>
        <v>24.15221</v>
      </c>
      <c r="F34" s="92">
        <f t="shared" si="2"/>
        <v>72.456630000000004</v>
      </c>
      <c r="G34" s="93">
        <f t="shared" si="1"/>
        <v>72.456630000000004</v>
      </c>
      <c r="H34" s="24" t="str">
        <f>cennik!$B$2</f>
        <v>EUR</v>
      </c>
      <c r="I34" s="483" t="str">
        <f>IFERROR(IF((VLOOKUP(B34,cennik!A:L,12,0))="O",texty!$A$250,""),"")</f>
        <v/>
      </c>
      <c r="J34" s="453" t="str">
        <f>IF(D34&gt;0,IF(VLOOKUP(B34,cennik!A:L,12,FALSE)="O",1,""),"")</f>
        <v/>
      </c>
      <c r="K34" s="196" t="str">
        <f>IF(D34&gt;0,IF(VLOOKUP(B34,cennik!A:L,12,FALSE)="O",1,""),"")</f>
        <v/>
      </c>
      <c r="L34" s="24"/>
    </row>
    <row r="35" spans="1:16" ht="12.75" customHeight="1">
      <c r="A35" s="436" t="str">
        <f>+System10!$A$35</f>
        <v>spojovacia skrutka</v>
      </c>
      <c r="B35" s="24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 t="shared" si="2"/>
        <v>1.7354400000000001</v>
      </c>
      <c r="G35" s="93">
        <f t="shared" si="1"/>
        <v>1.7354400000000001</v>
      </c>
      <c r="H35" s="24" t="str">
        <f>cennik!$B$2</f>
        <v>EUR</v>
      </c>
      <c r="I35" s="483" t="str">
        <f>IFERROR(IF((VLOOKUP(B35,cennik!A:L,12,0))="O",texty!$A$250,""),"")</f>
        <v/>
      </c>
      <c r="J35" s="453" t="str">
        <f>IF(D35&gt;0,IF(VLOOKUP(B35,cennik!A:L,12,FALSE)="O",1,""),"")</f>
        <v/>
      </c>
      <c r="K35" s="196" t="str">
        <f>IF(D35&gt;0,IF(VLOOKUP(B35,cennik!A:L,12,FALSE)="O",1,""),"")</f>
        <v/>
      </c>
      <c r="L35" s="23"/>
    </row>
    <row r="36" spans="1:16" ht="12.75" customHeight="1">
      <c r="A36" s="436" t="str">
        <f>+System10!$A$36</f>
        <v>horný profil rámu (vodiaca lišta)</v>
      </c>
      <c r="B36" s="16">
        <f>+VLOOKUP(M29,data!C262:D276,2,0)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2"/>
        <v>0</v>
      </c>
      <c r="G36" s="93">
        <f t="shared" si="1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453" t="str">
        <f>IF(D36&gt;0,IF(VLOOKUP(B36,cennik!A:L,12,FALSE)="O",1,""),"")</f>
        <v/>
      </c>
      <c r="K36" s="196" t="str">
        <f>IF(D36&gt;0,IF(VLOOKUP(B36,cennik!A:L,12,FALSE)="O",1,""),"")</f>
        <v/>
      </c>
      <c r="L36" s="23">
        <f>+System10!L22</f>
        <v>0</v>
      </c>
    </row>
    <row r="37" spans="1:16" ht="12.75" customHeight="1">
      <c r="A37" s="436" t="str">
        <f>+System10!$A$36</f>
        <v>horný profil rámu (vodiaca lišta)</v>
      </c>
      <c r="B37" s="16" t="str">
        <f>IF(M30="jiné","",+VLOOKUP(M30,data!C261:D275,2,0))</f>
        <v/>
      </c>
      <c r="C37" s="460" t="str">
        <f>IF(M30&lt;&gt;"jiné",+VLOOKUP(B37,cennik!$A:$G,2,FALSE),texty!$A$2)</f>
        <v>druhá lišta nieje potrebná</v>
      </c>
      <c r="D37" s="65">
        <f>N30</f>
        <v>0</v>
      </c>
      <c r="E37" s="461">
        <f>IF(M30&lt;&gt;"jiné",+VLOOKUP(B37,cennik!$A$3:$G$701,3,FALSE),0)</f>
        <v>0</v>
      </c>
      <c r="F37" s="92">
        <f t="shared" si="2"/>
        <v>0</v>
      </c>
      <c r="G37" s="93">
        <f t="shared" si="1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453" t="str">
        <f>IF(D37&gt;0,IF(VLOOKUP(B37,cennik!A:L,12,FALSE)="O",1,""),"")</f>
        <v/>
      </c>
      <c r="K37" s="196" t="str">
        <f>IF(D37&gt;0,IF(VLOOKUP(B37,cennik!A:L,12,FALSE)="O",1,""),"")</f>
        <v/>
      </c>
      <c r="L37" s="23"/>
    </row>
    <row r="38" spans="1:16" ht="12.75" customHeight="1">
      <c r="A38" s="436" t="str">
        <f>+System10!A38</f>
        <v>horizontálny spodný profil rámu</v>
      </c>
      <c r="B38" s="24">
        <f>+VLOOKUP(M29,data!$C$315:$D$326,2,0)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2"/>
        <v>0</v>
      </c>
      <c r="G38" s="93">
        <f t="shared" si="1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453" t="str">
        <f>IF(D38&gt;0,IF(VLOOKUP(B38,cennik!A:L,12,FALSE)="O",1,""),"")</f>
        <v/>
      </c>
      <c r="K38" s="196" t="str">
        <f>IF(D38&gt;0,IF(VLOOKUP(B38,cennik!A:L,12,FALSE)="O",1,""),"")</f>
        <v/>
      </c>
      <c r="L38" s="23" t="str">
        <f>+System10!L24</f>
        <v xml:space="preserve">1700-strieborná </v>
      </c>
    </row>
    <row r="39" spans="1:16" ht="12.75" customHeight="1">
      <c r="A39" s="436" t="str">
        <f>+System10!A39</f>
        <v>horizontálny spodný profil rámu</v>
      </c>
      <c r="B39" s="16" t="str">
        <f>IF(M30&lt;&gt;"jiné",+VLOOKUP(M30,data!$C$315:$D$326,2,0),"")</f>
        <v/>
      </c>
      <c r="C39" s="25" t="str">
        <f>IF(M30&lt;&gt;"jiné",+VLOOKUP(B39,cennik!$A:$G,2,FALSE),texty!A2)</f>
        <v>druhá lišta nieje potrebná</v>
      </c>
      <c r="D39" s="65">
        <f>N30</f>
        <v>0</v>
      </c>
      <c r="E39" s="461">
        <f>IF(M30&lt;&gt;"jiné",+VLOOKUP(B39,cennik!$A$3:$G$701,3,FALSE),0)</f>
        <v>0</v>
      </c>
      <c r="F39" s="92">
        <f t="shared" si="2"/>
        <v>0</v>
      </c>
      <c r="G39" s="93">
        <f t="shared" si="1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453" t="str">
        <f>IF(D39&gt;0,IF(VLOOKUP(B39,cennik!A:L,12,FALSE)="O",1,""),"")</f>
        <v/>
      </c>
      <c r="K39" s="196" t="str">
        <f>IF(D39&gt;0,IF(VLOOKUP(B39,cennik!A:L,12,FALSE)="O",1,""),"")</f>
        <v/>
      </c>
      <c r="L39" s="23"/>
    </row>
    <row r="40" spans="1:16" ht="12.75" customHeight="1">
      <c r="E40" s="375"/>
      <c r="F40" s="375"/>
      <c r="G40" s="375"/>
      <c r="H40" s="24"/>
      <c r="I40" s="483" t="str">
        <f>IFERROR(IF((VLOOKUP(B40,cennik!A:L,12,0))="O",texty!$A$250,""),"")</f>
        <v/>
      </c>
      <c r="J40" s="453" t="str">
        <f>IF(D40&gt;0,IF(VLOOKUP(B40,cennik!A:L,12,FALSE)="O",1,""),"")</f>
        <v/>
      </c>
      <c r="K40" s="196"/>
      <c r="L40" s="23"/>
    </row>
    <row r="41" spans="1:16" ht="12.75" customHeight="1">
      <c r="A41" s="441" t="str">
        <f>texty!$A$66</f>
        <v>Voliteľné príslušenstvo:</v>
      </c>
      <c r="B41" s="16"/>
      <c r="D41" s="462" t="str">
        <f>+System10!D41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J41" s="453"/>
      <c r="K41" s="196"/>
      <c r="L41" s="23"/>
    </row>
    <row r="42" spans="1:16" ht="12.75" customHeight="1">
      <c r="A42" s="436" t="str">
        <f>texty!A88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7">
        <f t="shared" ref="F42:F50" si="3">+CEILING(D42,1)*E42</f>
        <v>0</v>
      </c>
      <c r="G42" s="93">
        <f t="shared" ref="G42:G54" si="4"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J42" s="453" t="str">
        <f>IF(D42&gt;0,IF(VLOOKUP(B42,cennik!A:L,12,FALSE)="O",1,""),"")</f>
        <v/>
      </c>
      <c r="K42" s="196" t="str">
        <f>IF(D42&gt;0,IF(VLOOKUP(B42,cennik!A:L,12,FALSE)="O",1,""),"")</f>
        <v/>
      </c>
      <c r="L42" s="23"/>
    </row>
    <row r="43" spans="1:16" ht="12.75" customHeight="1">
      <c r="A43" s="436" t="str">
        <f>+System10!$A$43</f>
        <v xml:space="preserve">pozicionér </v>
      </c>
      <c r="B43" s="16">
        <f>IF(F4="Gemini",387424,89063)</f>
        <v>387424</v>
      </c>
      <c r="C43" s="25" t="str">
        <f>+VLOOKUP(B43,cennik!$A:$G,2,FALSE)</f>
        <v>SEVROLL držiak spodného vedenia Gemini</v>
      </c>
      <c r="D43" s="387"/>
      <c r="E43" s="92">
        <f>+VLOOKUP(B43,cennik!$A:$G,3,FALSE)</f>
        <v>0.21693999999999999</v>
      </c>
      <c r="F43" s="97">
        <f t="shared" si="3"/>
        <v>0</v>
      </c>
      <c r="G43" s="93">
        <f t="shared" si="4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453" t="str">
        <f>IF(D43&gt;0,IF(VLOOKUP(B43,cennik!A:L,12,FALSE)="O",1,""),"")</f>
        <v/>
      </c>
      <c r="K43" s="196" t="str">
        <f>IF(D43&gt;0,IF(VLOOKUP(B43,cennik!A:L,12,FALSE)="O",1,""),"")</f>
        <v/>
      </c>
      <c r="L43" s="24"/>
    </row>
    <row r="44" spans="1:16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453" t="str">
        <f>IF(D44&gt;0,IF(VLOOKUP(B44,cennik!A:L,12,FALSE)="O",1,""),"")</f>
        <v/>
      </c>
      <c r="K44" s="196" t="str">
        <f>IF(D44&gt;0,IF(VLOOKUP(B44,cennik!A:L,12,FALSE)="O",1,""),"")</f>
        <v/>
      </c>
      <c r="L44" s="24"/>
      <c r="N44" s="482"/>
      <c r="P44" s="482"/>
    </row>
    <row r="45" spans="1:16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453" t="str">
        <f>IF(D45&gt;0,IF(VLOOKUP(B45,cennik!A:L,12,FALSE)="O",1,""),"")</f>
        <v/>
      </c>
      <c r="K45" s="196" t="str">
        <f>IF(D45&gt;0,IF(VLOOKUP(B45,cennik!A:L,12,FALSE)="O",1,""),"")</f>
        <v/>
      </c>
      <c r="L45" s="24"/>
    </row>
    <row r="46" spans="1:16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453" t="str">
        <f>IF(D46&gt;0,IF(VLOOKUP(B46,cennik!A:L,12,FALSE)="O",1,""),"")</f>
        <v/>
      </c>
      <c r="K46" s="196" t="str">
        <f>IF(D46&gt;0,IF(VLOOKUP(B46,cennik!A:L,12,FALSE)="O",1,""),"")</f>
        <v/>
      </c>
    </row>
    <row r="47" spans="1:16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453" t="str">
        <f>IF(D47&gt;0,IF(VLOOKUP(B47,cennik!A:L,12,FALSE)="O",1,""),"")</f>
        <v/>
      </c>
      <c r="K47" s="196" t="str">
        <f>IF(D47&gt;0,IF(VLOOKUP(B47,cennik!A:L,12,FALSE)="O",1,""),"")</f>
        <v/>
      </c>
    </row>
    <row r="48" spans="1:16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453" t="str">
        <f>IF(D48&gt;0,IF(VLOOKUP(B48,cennik!A:L,12,FALSE)="O",1,""),"")</f>
        <v/>
      </c>
      <c r="K48" s="196" t="str">
        <f>IF(D48&gt;0,IF(VLOOKUP(B48,cennik!A:L,12,FALSE)="O",1,""),"")</f>
        <v/>
      </c>
    </row>
    <row r="49" spans="1:12" ht="12.75" customHeight="1">
      <c r="A49" s="436" t="str">
        <f>texty!A97</f>
        <v>tlmič dorazu (pár) 25 kg</v>
      </c>
      <c r="B49" s="24">
        <v>227185</v>
      </c>
      <c r="C49" s="25" t="str">
        <f>+VLOOKUP(B49,cennik!$A:$G,2,FALSE)</f>
        <v>K-SEVROLL tlmič dorazu 10/18mm 14-25kg(L+P)</v>
      </c>
      <c r="D49" s="387"/>
      <c r="E49" s="92">
        <f>+VLOOKUP(B49,cennik!$A:$G,3,FALSE)</f>
        <v>0</v>
      </c>
      <c r="F49" s="97">
        <f t="shared" si="3"/>
        <v>0</v>
      </c>
      <c r="G49" s="93">
        <f t="shared" si="4"/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453" t="str">
        <f>IF(D49&gt;0,IF(VLOOKUP(B49,cennik!A:L,12,FALSE)="O",1,""),"")</f>
        <v/>
      </c>
      <c r="K49" s="196" t="str">
        <f>IF(D49&gt;0,IF(VLOOKUP(B49,cennik!A:L,12,FALSE)="O",1,""),"")</f>
        <v/>
      </c>
      <c r="L49" s="24"/>
    </row>
    <row r="50" spans="1:12" ht="12.75" customHeight="1">
      <c r="A50" s="436" t="str">
        <f>texty!A98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387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453" t="str">
        <f>IF(D50&gt;0,IF(VLOOKUP(B50,cennik!A:L,12,FALSE)="O",1,""),"")</f>
        <v/>
      </c>
      <c r="K50" s="196" t="str">
        <f>IF(D50&gt;0,IF(VLOOKUP(B50,cennik!A:L,12,FALSE)="O",1,""),"")</f>
        <v/>
      </c>
      <c r="L50" s="24"/>
    </row>
    <row r="51" spans="1:12" ht="12.75" customHeight="1">
      <c r="A51" s="436" t="str">
        <f>texty!A100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473"/>
      <c r="E51" s="92">
        <f>+VLOOKUP(B51,cennik!$A:$G,3,FALSE)</f>
        <v>17.52046</v>
      </c>
      <c r="F51" s="92">
        <f>+E51*D51</f>
        <v>0</v>
      </c>
      <c r="G51" s="93">
        <f t="shared" si="4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453" t="str">
        <f>IF(D51&gt;0,IF(VLOOKUP(B51,cennik!A:L,12,FALSE)="O",1,""),"")</f>
        <v/>
      </c>
      <c r="K51" s="196" t="str">
        <f>IF(D51&gt;0,IF(VLOOKUP(B51,cennik!A:L,12,FALSE)="O",1,""),"")</f>
        <v/>
      </c>
      <c r="L51" s="24"/>
    </row>
    <row r="52" spans="1:12" ht="12.75" customHeight="1">
      <c r="A52" s="436" t="str">
        <f>texty!A101</f>
        <v>spojovací profil H30-3metre</v>
      </c>
      <c r="B52" s="17">
        <f>+VLOOKUP(P7,data!C399:D401,2,0)</f>
        <v>89069</v>
      </c>
      <c r="C52" s="25" t="str">
        <f>IF($B$52=data!$D$54,texty!$A$239,+VLOOKUP($B$52,cennik!$A$3:$G$907,2,FALSE))</f>
        <v>SEVROLL-253S-SPOJ.LIŠTA H-30mm STR 3m</v>
      </c>
      <c r="D52" s="473"/>
      <c r="E52" s="92">
        <f>IF(B52=data!$D$63,0,+VLOOKUP(B52,cennik!$A$3:$G$907,3,FALSE))</f>
        <v>26.594049999999999</v>
      </c>
      <c r="F52" s="92">
        <f>+E52*D52</f>
        <v>0</v>
      </c>
      <c r="G52" s="93">
        <f t="shared" si="4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453" t="str">
        <f>IF(D52&gt;0,IF(VLOOKUP(B52,cennik!A:L,12,FALSE)="O",1,""),"")</f>
        <v/>
      </c>
      <c r="K52" s="196" t="str">
        <f>IF(D52&gt;0,IF(VLOOKUP(B52,cennik!A:L,12,FALSE)="O",1,""),"")</f>
        <v/>
      </c>
      <c r="L52" s="24"/>
    </row>
    <row r="53" spans="1:12" ht="12.75" customHeight="1">
      <c r="A53" s="436" t="str">
        <f>texty!$A$92</f>
        <v>spojovacia skrutka</v>
      </c>
      <c r="B53" s="16">
        <v>89244</v>
      </c>
      <c r="C53" s="25" t="str">
        <f>+VLOOKUP(B53,cennik!$A:$G,2,FALSE)</f>
        <v>SEVROLL šroubovrut 6,3*32 -Sevroll a Simple</v>
      </c>
      <c r="D53" s="473"/>
      <c r="E53" s="92">
        <f>+VLOOKUP(B53,cennik!$A:$G,3,FALSE)</f>
        <v>0.14462</v>
      </c>
      <c r="F53" s="92">
        <f>+E53*D53</f>
        <v>0</v>
      </c>
      <c r="G53" s="93">
        <f t="shared" si="4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453" t="str">
        <f>IF(D53&gt;0,IF(VLOOKUP(B53,cennik!A:L,12,FALSE)="O",1,""),"")</f>
        <v/>
      </c>
      <c r="K53" s="196" t="str">
        <f>IF(D53&gt;0,IF(VLOOKUP(B53,cennik!A:L,12,FALSE)="O",1,""),"")</f>
        <v/>
      </c>
      <c r="L53" s="24"/>
    </row>
    <row r="54" spans="1:12" ht="12.75" customHeight="1">
      <c r="A54" s="436" t="str">
        <f>texty!A240</f>
        <v>zámok posuvných dverí</v>
      </c>
      <c r="B54" s="17">
        <v>216363</v>
      </c>
      <c r="C54" s="25" t="str">
        <f>+VLOOKUP(B54,cennik!$A:$G,2,FALSE)</f>
        <v>SEVROLL zámok na posuvné dvere 18 mm</v>
      </c>
      <c r="D54" s="473"/>
      <c r="E54" s="92">
        <f>+VLOOKUP(B54,cennik!$A:$G,3,FALSE)</f>
        <v>17.186150000000001</v>
      </c>
      <c r="F54" s="92">
        <f>+E54*D54</f>
        <v>0</v>
      </c>
      <c r="G54" s="93">
        <f t="shared" si="4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453" t="str">
        <f>IF(D54&gt;0,IF(VLOOKUP(B54,cennik!A:L,12,FALSE)="O",1,""),"")</f>
        <v/>
      </c>
      <c r="K54" s="196" t="str">
        <f>IF(D54&gt;0,IF(VLOOKUP(B54,cennik!A:L,12,FALSE)="O",1,""),"")</f>
        <v/>
      </c>
    </row>
    <row r="55" spans="1:12" ht="12.75" customHeight="1">
      <c r="I55" s="483" t="str">
        <f>IFERROR(IF((VLOOKUP(B55,cennik!A:L,12,0))="O",texty!$A$250,""),"")</f>
        <v/>
      </c>
      <c r="J55" s="453"/>
      <c r="K55" s="196"/>
    </row>
    <row r="56" spans="1:12" ht="12.75" customHeight="1">
      <c r="A56" s="443" t="str">
        <f>CONCATENATE(texty!$A$6,ROUND((C13/1000),1),texty!$A$8)</f>
        <v>Pokiaľ budete používať ako výplň sklo / zrkadlo, je nutné doobjednať tesnenie. Dĺžka tesnenia na jedno krídlo je -0,3m, pokiaľ je preskenných viac krídel, treba vynásobiť</v>
      </c>
      <c r="B56" s="42"/>
      <c r="C56" s="43"/>
      <c r="D56" s="42"/>
      <c r="E56" s="98"/>
      <c r="F56" s="98"/>
      <c r="G56" s="99"/>
      <c r="H56" s="24"/>
      <c r="I56" s="483" t="str">
        <f>IFERROR(IF((VLOOKUP(B56,cennik!A:L,12,0))="O",texty!$A$250,""),"")</f>
        <v/>
      </c>
      <c r="J56" s="453" t="str">
        <f>IF(D56&gt;0,IF(VLOOKUP(B56,cennik!A:L,12,FALSE)="O",1,""),"")</f>
        <v/>
      </c>
      <c r="K56" s="196"/>
    </row>
    <row r="57" spans="1:12" ht="12.75" customHeight="1">
      <c r="C57" s="463" t="str">
        <f>texty!$A$10</f>
        <v>Potrebná dĺžka tesnenia pri celkovom presklení (nutné objednať celé metre)</v>
      </c>
      <c r="D57" s="453">
        <f>CEILING(((B9+C9)*2/1000*D4),1)</f>
        <v>0</v>
      </c>
      <c r="E57" s="375"/>
      <c r="F57" s="375"/>
      <c r="G57" s="375"/>
      <c r="H57" s="24"/>
      <c r="I57" s="483" t="str">
        <f>IFERROR(IF((VLOOKUP(B57,cennik!A:L,12,0))="O",texty!$A$250,""),"")</f>
        <v/>
      </c>
      <c r="J57" s="453"/>
      <c r="K57" s="196"/>
      <c r="L57" s="24"/>
    </row>
    <row r="58" spans="1:12" ht="12.75" customHeight="1">
      <c r="A58" s="464" t="str">
        <f>texty!$A$12</f>
        <v>(pri kombináciach s H profilmi je nutné pripočítať potrebnú dĺžku - tesnenie musí byť po celom odvode každého skla</v>
      </c>
      <c r="B58" s="465"/>
      <c r="C58" s="466"/>
      <c r="D58" s="465"/>
      <c r="E58" s="455"/>
      <c r="F58" s="455"/>
      <c r="G58" s="455"/>
      <c r="H58" s="24"/>
      <c r="I58" s="483" t="str">
        <f>IFERROR(IF((VLOOKUP(B58,cennik!A:L,12,0))="O",texty!$A$250,""),"")</f>
        <v/>
      </c>
      <c r="J58" s="453" t="str">
        <f>IF(D58&gt;0,IF(VLOOKUP(B58,cennik!A:L,12,FALSE)="O",1,""),"")</f>
        <v/>
      </c>
      <c r="K58" s="196"/>
      <c r="L58" s="24"/>
    </row>
    <row r="59" spans="1:12" ht="12.75" customHeight="1">
      <c r="A59" s="436" t="str">
        <f>System10!A59</f>
        <v>tesnenie na sklo 4mm</v>
      </c>
      <c r="B59" s="17">
        <v>89238</v>
      </c>
      <c r="C59" s="25" t="str">
        <f>+VLOOKUP(B59,cennik!$A:$G,2,FALSE)</f>
        <v>SEVROLL tesnenie na sklo 10/4mm</v>
      </c>
      <c r="D59" s="474"/>
      <c r="E59" s="92">
        <f>+VLOOKUP(B59,cennik!$A:$G,3,FALSE)</f>
        <v>0.89917999999999998</v>
      </c>
      <c r="F59" s="97">
        <f>+CEILING(D59,1)*E59</f>
        <v>0</v>
      </c>
      <c r="G59" s="93">
        <f>+F59*(100-$G$26)/100</f>
        <v>0</v>
      </c>
      <c r="H59" s="24" t="str">
        <f>cennik!$B$2</f>
        <v>EUR</v>
      </c>
      <c r="I59" s="483" t="str">
        <f>IFERROR(IF((VLOOKUP(B59,cennik!A:L,12,0))="O",texty!$A$250,""),"")</f>
        <v/>
      </c>
      <c r="J59" s="453" t="str">
        <f>IF(D59&gt;0,IF(VLOOKUP(B59,cennik!A:L,12,FALSE)="O",1,""),"")</f>
        <v/>
      </c>
      <c r="K59" s="196" t="str">
        <f>IF(D59&gt;0,IF(VLOOKUP(B59,cennik!A:L,12,FALSE)="O",1,""),"")</f>
        <v/>
      </c>
      <c r="L59" s="24"/>
    </row>
    <row r="60" spans="1:12" ht="12.75" customHeight="1">
      <c r="A60" s="436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74"/>
      <c r="E60" s="92">
        <f>+VLOOKUP(B60,cennik!$A:$G,3,FALSE)</f>
        <v>0.79542999999999997</v>
      </c>
      <c r="F60" s="97">
        <f>+CEILING(D60,1)*E60</f>
        <v>0</v>
      </c>
      <c r="G60" s="93">
        <f>+F60*(100-$G$26)/100</f>
        <v>0</v>
      </c>
      <c r="H60" s="24" t="str">
        <f>cennik!$B$2</f>
        <v>EUR</v>
      </c>
      <c r="I60" s="483" t="str">
        <f>IFERROR(IF((VLOOKUP(B60,cennik!A:L,12,0))="O",texty!$A$250,""),"")</f>
        <v/>
      </c>
      <c r="J60" s="453" t="str">
        <f>IF(D60&gt;0,IF(VLOOKUP(B60,cennik!A:L,12,FALSE)="O",1,""),"")</f>
        <v/>
      </c>
      <c r="K60" s="196" t="str">
        <f>IF(D60&gt;0,IF(VLOOKUP(B60,cennik!A:L,12,FALSE)="O",1,""),"")</f>
        <v/>
      </c>
      <c r="L60" s="24"/>
    </row>
    <row r="61" spans="1:12" ht="12.75" customHeight="1">
      <c r="A61" s="436" t="str">
        <f>System10!A61</f>
        <v>tesnenie na sklo 6mm</v>
      </c>
      <c r="B61" s="17">
        <v>89243</v>
      </c>
      <c r="C61" s="25" t="str">
        <f>+VLOOKUP(B61,cennik!$A:$G,2,FALSE)</f>
        <v>SEVROLL tesnenie na sklo 10/6mm</v>
      </c>
      <c r="D61" s="474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J61" s="453" t="str">
        <f>IF(D61&gt;0,IF(VLOOKUP(B61,cennik!A:L,12,FALSE)="O",1,""),"")</f>
        <v/>
      </c>
      <c r="K61" s="196" t="str">
        <f>IF(D61&gt;0,IF(VLOOKUP(B61,cennik!A:L,12,FALSE)="O",1,""),"")</f>
        <v/>
      </c>
      <c r="L61" s="24"/>
    </row>
    <row r="62" spans="1:12" ht="12.75" customHeight="1">
      <c r="A62" s="285" t="str">
        <f>texty!$A$190</f>
        <v>Ďalšie príslušenstvo</v>
      </c>
      <c r="E62" s="375"/>
      <c r="F62" s="375"/>
      <c r="G62" s="375"/>
      <c r="H62" s="24"/>
      <c r="I62" s="483" t="str">
        <f>IFERROR(IF((VLOOKUP(B62,cennik!A:L,12,0))="O",texty!$A$250,""),"")</f>
        <v/>
      </c>
      <c r="J62" s="453" t="str">
        <f>IF(D62&gt;0,IF(VLOOKUP(B62,cennik!A:L,12,FALSE)="O",1,""),"")</f>
        <v/>
      </c>
      <c r="K62" s="196" t="str">
        <f>IF(D62&gt;0,IF(VLOOKUP(B62,cennik!A:L,12,FALSE)="O",1,""),"")</f>
        <v/>
      </c>
      <c r="L62" s="24"/>
    </row>
    <row r="63" spans="1:12" ht="12.75" customHeight="1">
      <c r="A63" s="285" t="str">
        <f>texty!$A$244</f>
        <v>Technický nákres tohoto systému</v>
      </c>
      <c r="B63" s="467">
        <v>129677</v>
      </c>
      <c r="C63" s="467" t="str">
        <f>VLOOKUP(B63,cennik!A:C,2,0)</f>
        <v>SEVROLL-MONT.PRÍPRAVOK NA DTD 10mm MALÝ</v>
      </c>
      <c r="D63" s="474"/>
      <c r="E63" s="92">
        <f>+VLOOKUP(B63,cennik!$A:$G,3,FALSE)</f>
        <v>5.60419</v>
      </c>
      <c r="F63" s="97">
        <f>+CEILING(D63,1)*E63</f>
        <v>0</v>
      </c>
      <c r="G63" s="93">
        <f>+F63</f>
        <v>0</v>
      </c>
      <c r="H63" s="24" t="str">
        <f>cennik!$B$2</f>
        <v>EUR</v>
      </c>
      <c r="I63" s="483" t="str">
        <f>IFERROR(IF((VLOOKUP(B63,cennik!A:L,12,0))="O",texty!$A$250,""),"")</f>
        <v/>
      </c>
      <c r="J63" s="453" t="str">
        <f>IF(D63&gt;0,IF(VLOOKUP(B63,cennik!A:L,12,FALSE)="O",1,""),"")</f>
        <v/>
      </c>
      <c r="K63" s="196" t="str">
        <f>IF(D63&gt;0,IF(VLOOKUP(B63,cennik!A:L,12,FALSE)="O",1,""),"")</f>
        <v/>
      </c>
      <c r="L63" s="24"/>
    </row>
    <row r="64" spans="1:12" ht="12.75" customHeight="1">
      <c r="B64" s="467">
        <v>128842</v>
      </c>
      <c r="C64" s="467" t="str">
        <f>VLOOKUP(B64,cennik!A:C,2,0)</f>
        <v>SEVROLL-VRTÁK STUPŇOVITÝ 6,5/9,5mm</v>
      </c>
      <c r="D64" s="474"/>
      <c r="E64" s="92">
        <f>+VLOOKUP(B64,cennik!$A:$G,3,FALSE)</f>
        <v>23.986910000000002</v>
      </c>
      <c r="F64" s="97">
        <f>+CEILING(D64,1)*E64</f>
        <v>0</v>
      </c>
      <c r="G64" s="93">
        <f>+F64</f>
        <v>0</v>
      </c>
      <c r="H64" s="24" t="str">
        <f>cennik!$B$2</f>
        <v>EUR</v>
      </c>
      <c r="I64" s="483" t="str">
        <f>IFERROR(IF((VLOOKUP(B64,cennik!A:L,12,0))="O",texty!$A$250,""),"")</f>
        <v/>
      </c>
      <c r="J64" s="453" t="str">
        <f>IF(D64&gt;0,IF(VLOOKUP(B64,cennik!A:L,12,FALSE)="O",1,""),"")</f>
        <v/>
      </c>
      <c r="K64" s="196" t="str">
        <f>IF(D64&gt;0,IF(VLOOKUP(B64,cennik!A:L,12,FALSE)="O",1,""),"")</f>
        <v/>
      </c>
      <c r="L64" s="23"/>
    </row>
    <row r="65" spans="1:14" ht="12.75" customHeight="1">
      <c r="A65" s="483" t="str">
        <f>IF(SUM(D49:D50)&gt;0,IF(C7&lt;(B4/3),texty!$A$212,""),"")</f>
        <v/>
      </c>
      <c r="B65" s="483"/>
      <c r="C65" s="483"/>
      <c r="D65" s="483"/>
      <c r="E65" s="483"/>
      <c r="F65" s="483"/>
      <c r="G65" s="483"/>
      <c r="H65" s="483"/>
      <c r="I65" s="483"/>
      <c r="J65" s="483"/>
      <c r="K65" s="196"/>
      <c r="L65" s="24"/>
    </row>
    <row r="66" spans="1:14" ht="13">
      <c r="B66" s="17"/>
      <c r="C66" s="17"/>
      <c r="D66" s="469" t="str">
        <f>texty!$A$15</f>
        <v>CELKOM  (bez DPH)</v>
      </c>
      <c r="E66" s="455"/>
      <c r="F66" s="102">
        <f>SUM(F28:F64)</f>
        <v>136.45928000000001</v>
      </c>
      <c r="G66" s="102">
        <f>SUM(G28:G64)</f>
        <v>136.45928000000001</v>
      </c>
      <c r="H66" s="24" t="str">
        <f>cennik!$B$2</f>
        <v>EUR</v>
      </c>
      <c r="I66" s="21"/>
      <c r="L66" s="24"/>
    </row>
    <row r="67" spans="1:14" ht="12.75" customHeight="1">
      <c r="A67" s="456" t="str">
        <f>System10!$A$67</f>
        <v>Vaša poznámka:</v>
      </c>
      <c r="B67" s="650"/>
      <c r="C67" s="651"/>
      <c r="D67" s="651"/>
      <c r="E67" s="651"/>
      <c r="F67" s="651"/>
      <c r="G67" s="652"/>
      <c r="H67" s="23"/>
      <c r="L67" s="24"/>
    </row>
    <row r="68" spans="1:14" ht="12.75" customHeight="1">
      <c r="A68" s="639">
        <f>profil!$U$15</f>
        <v>0</v>
      </c>
      <c r="B68" s="640"/>
      <c r="C68" s="640"/>
      <c r="D68" s="640"/>
      <c r="E68" s="640"/>
      <c r="F68" s="640"/>
      <c r="G68" s="640"/>
      <c r="H68" s="640"/>
      <c r="L68" s="24"/>
    </row>
    <row r="69" spans="1:14" ht="12.75" customHeight="1">
      <c r="A69" s="641">
        <f>IF(N73=1,texty!$A$215,IF(K73&gt;0,texty!$A$214,""))</f>
        <v>0</v>
      </c>
      <c r="B69" s="641"/>
      <c r="C69" s="641"/>
      <c r="D69" s="641"/>
      <c r="E69" s="641"/>
      <c r="F69" s="641"/>
      <c r="G69" s="641"/>
      <c r="H69" s="641"/>
      <c r="K69" s="483"/>
    </row>
    <row r="70" spans="1:14" ht="12.75" customHeight="1">
      <c r="I70" s="21"/>
      <c r="J70" s="21"/>
      <c r="L70" s="21" t="str">
        <f>texty!A128</f>
        <v xml:space="preserve">strieborná </v>
      </c>
      <c r="M70" s="21" t="s">
        <v>2884</v>
      </c>
    </row>
    <row r="71" spans="1:14" ht="12.75" customHeight="1">
      <c r="I71" s="21"/>
      <c r="J71" s="21"/>
      <c r="L71" s="21" t="str">
        <f>texty!A130</f>
        <v>oliva</v>
      </c>
      <c r="M71" s="21" t="s">
        <v>45</v>
      </c>
    </row>
    <row r="72" spans="1:14" ht="12.75" customHeight="1">
      <c r="I72" s="21"/>
      <c r="J72" s="21"/>
    </row>
    <row r="73" spans="1:14" ht="12.75" customHeight="1">
      <c r="I73" s="21"/>
      <c r="J73" s="21"/>
      <c r="K73" s="24" t="e">
        <f>SUM(K27:K64)</f>
        <v>#N/A</v>
      </c>
      <c r="N73" s="21">
        <f>IF(ISERROR(K73),1,0)</f>
        <v>1</v>
      </c>
    </row>
  </sheetData>
  <sheetProtection algorithmName="SHA-512" hashValue="+VVGkEgfCUj6fygOqcePNLfaeuuyX0qlmjhqricUiQs/R56lI4kS9PrgczNlVTxYOJ0/cfCg9pP28BT6DuU+cQ==" saltValue="RPFCevDAr+YTjHI8ROn3J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D6">
    <cfRule type="expression" dxfId="349" priority="6">
      <formula>$D$4=4</formula>
    </cfRule>
    <cfRule type="expression" dxfId="348" priority="7">
      <formula>$D$4&lt;&gt;4</formula>
    </cfRule>
  </conditionalFormatting>
  <conditionalFormatting sqref="G4">
    <cfRule type="expression" dxfId="347" priority="5">
      <formula>$D$4=4</formula>
    </cfRule>
  </conditionalFormatting>
  <conditionalFormatting sqref="I19:I20">
    <cfRule type="expression" dxfId="346" priority="4">
      <formula>$F$4=$M$71</formula>
    </cfRule>
  </conditionalFormatting>
  <conditionalFormatting sqref="I21:I22">
    <cfRule type="expression" dxfId="345" priority="8">
      <formula>$F$4=$M$70</formula>
    </cfRule>
  </conditionalFormatting>
  <conditionalFormatting sqref="A14">
    <cfRule type="expression" dxfId="344" priority="3">
      <formula>SUM($D$47:$D$48)&gt;0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imální výška je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E6: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D6F6DC3-4CDF-44F1-B4B5-79D3BFF17DFA}">
            <xm:f>$I28=texty!$A$250</xm:f>
            <x14:dxf>
              <font>
                <color rgb="FFFF0000"/>
              </font>
            </x14:dxf>
          </x14:cfRule>
          <xm:sqref>I28:I64</xm:sqref>
        </x14:conditionalFormatting>
        <x14:conditionalFormatting xmlns:xm="http://schemas.microsoft.com/office/excel/2006/main">
          <x14:cfRule type="expression" priority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O736"/>
  <sheetViews>
    <sheetView topLeftCell="A191" zoomScaleNormal="100" workbookViewId="0">
      <selection activeCell="D205" sqref="D205"/>
    </sheetView>
  </sheetViews>
  <sheetFormatPr baseColWidth="10" defaultColWidth="9.1640625" defaultRowHeight="15" customHeight="1"/>
  <cols>
    <col min="1" max="1" width="8.6640625" style="1" customWidth="1"/>
    <col min="2" max="2" width="24.5" style="1" customWidth="1"/>
    <col min="3" max="3" width="39" style="1" bestFit="1" customWidth="1"/>
    <col min="4" max="4" width="11.5" style="2" customWidth="1"/>
    <col min="5" max="5" width="54.5" style="1" customWidth="1"/>
    <col min="6" max="6" width="49.83203125" style="1" customWidth="1"/>
    <col min="7" max="7" width="45.6640625" style="1" hidden="1" customWidth="1"/>
    <col min="8" max="8" width="9.1640625" style="1"/>
    <col min="9" max="9" width="39" style="1" bestFit="1" customWidth="1"/>
    <col min="10" max="10" width="9.1640625" style="1"/>
    <col min="11" max="11" width="22.5" style="1" bestFit="1" customWidth="1"/>
    <col min="12" max="12" width="16.5" style="1" bestFit="1" customWidth="1"/>
    <col min="13" max="13" width="17.5" style="1" bestFit="1" customWidth="1"/>
    <col min="14" max="14" width="15.5" style="1" bestFit="1" customWidth="1"/>
    <col min="15" max="16384" width="9.1640625" style="1"/>
  </cols>
  <sheetData>
    <row r="1" spans="1:15" ht="15" customHeight="1">
      <c r="J1" s="89">
        <f>cennik!$A$2</f>
        <v>2</v>
      </c>
      <c r="K1" t="s">
        <v>145</v>
      </c>
    </row>
    <row r="2" spans="1:15" ht="15" customHeight="1">
      <c r="A2" s="52"/>
      <c r="B2" s="52" t="s">
        <v>21</v>
      </c>
      <c r="D2" s="53" t="s">
        <v>22</v>
      </c>
      <c r="E2" s="52" t="s">
        <v>0</v>
      </c>
      <c r="F2" s="52" t="s">
        <v>1</v>
      </c>
      <c r="G2" s="1" t="s">
        <v>2</v>
      </c>
      <c r="H2" s="1" t="s">
        <v>540</v>
      </c>
    </row>
    <row r="3" spans="1:15" ht="15" customHeight="1">
      <c r="B3" s="156" t="s">
        <v>2888</v>
      </c>
      <c r="K3" s="1" t="s">
        <v>549</v>
      </c>
      <c r="L3" s="1" t="s">
        <v>550</v>
      </c>
      <c r="M3" s="1" t="s">
        <v>551</v>
      </c>
      <c r="N3" s="1" t="s">
        <v>552</v>
      </c>
    </row>
    <row r="4" spans="1:15" ht="15" customHeight="1">
      <c r="A4" s="52">
        <f t="shared" ref="A4:A7" si="0">+D4</f>
        <v>84385</v>
      </c>
      <c r="B4" s="52"/>
      <c r="C4" s="1" t="str">
        <f>CONCATENATE(H4,"-",$J$4,", ",$J$19)</f>
        <v>1700-strieborná , Elegant II</v>
      </c>
      <c r="D4" s="53">
        <v>84385</v>
      </c>
      <c r="E4" s="52" t="str">
        <f>+VLOOKUP(A4,cennik!$A:$G,2,FALSE)</f>
        <v>SEVROLL Elegant spodné vedenie 1,7m striebor</v>
      </c>
      <c r="F4" s="52" t="str">
        <f>+VLOOKUP(A4,cennik!A:B,2,FALSE)</f>
        <v>SEVROLL Elegant spodné vedenie 1,7m striebor</v>
      </c>
      <c r="G4" s="1" t="e">
        <f>+VLOOKUP(A4,#REF!,4,FALSE)</f>
        <v>#REF!</v>
      </c>
      <c r="H4" s="1" t="s">
        <v>541</v>
      </c>
      <c r="I4" s="1" t="str">
        <f>CONCATENATE(H4,"-",$J$4,", ",$J$19)</f>
        <v>1700-strieborná , Elegant II</v>
      </c>
      <c r="J4" s="1" t="str">
        <f t="shared" ref="J4:J9" si="1">IF($J$1=1,K4,IF($J$1=2,N4,IF($J$1=3,M4,IF($J$1=4,L4,"zadat jazyk"))))</f>
        <v xml:space="preserve">strieborná </v>
      </c>
      <c r="K4" s="1" t="s">
        <v>138</v>
      </c>
      <c r="L4" s="1" t="s">
        <v>249</v>
      </c>
      <c r="M4" s="1" t="s">
        <v>532</v>
      </c>
      <c r="N4" s="1" t="str">
        <f>texty!D128</f>
        <v xml:space="preserve">strieborná </v>
      </c>
    </row>
    <row r="5" spans="1:15" ht="15" customHeight="1">
      <c r="A5" s="52">
        <f t="shared" si="0"/>
        <v>84388</v>
      </c>
      <c r="B5" s="52"/>
      <c r="C5" s="1" t="str">
        <f>CONCATENATE(H5,"-",$J$4,", ",$J$19)</f>
        <v>2350-strieborná , Elegant II</v>
      </c>
      <c r="D5" s="53">
        <v>84388</v>
      </c>
      <c r="E5" s="52" t="str">
        <f>+VLOOKUP(A5,cennik!$A:$G,2,FALSE)</f>
        <v>SEVROLL Elegant spodné vedenie 2,35m striebo</v>
      </c>
      <c r="F5" s="52" t="str">
        <f>+VLOOKUP(A5,cennik!A:B,2,FALSE)</f>
        <v>SEVROLL Elegant spodné vedenie 2,35m striebo</v>
      </c>
      <c r="G5" s="1" t="e">
        <f>+VLOOKUP(A5,#REF!,4,FALSE)</f>
        <v>#REF!</v>
      </c>
      <c r="H5" s="1" t="s">
        <v>542</v>
      </c>
      <c r="I5" s="1" t="str">
        <f>CONCATENATE(H5,"-",$J$4,", ",$J$19)</f>
        <v>2350-strieborná , Elegant II</v>
      </c>
      <c r="J5" s="1" t="str">
        <f t="shared" si="1"/>
        <v>zlatá</v>
      </c>
      <c r="K5" s="1" t="s">
        <v>26</v>
      </c>
      <c r="L5" s="1" t="s">
        <v>250</v>
      </c>
      <c r="M5" s="1" t="s">
        <v>533</v>
      </c>
      <c r="N5" s="1" t="s">
        <v>26</v>
      </c>
    </row>
    <row r="6" spans="1:15" ht="15" customHeight="1">
      <c r="A6" s="52">
        <f t="shared" si="0"/>
        <v>84391</v>
      </c>
      <c r="B6" s="52"/>
      <c r="C6" s="1" t="str">
        <f>CONCATENATE(H6,"-",$J$4,", ",$J$19)</f>
        <v>3000-strieborná , Elegant II</v>
      </c>
      <c r="D6" s="53">
        <v>84391</v>
      </c>
      <c r="E6" s="52" t="str">
        <f>+VLOOKUP(A6,cennik!$A:$G,2,FALSE)</f>
        <v>SEVROLL Elegant spodné vedenie 3m strieborná</v>
      </c>
      <c r="F6" s="52" t="str">
        <f>+VLOOKUP(A6,cennik!A:B,2,FALSE)</f>
        <v>SEVROLL Elegant spodné vedenie 3m strieborná</v>
      </c>
      <c r="G6" s="1" t="e">
        <f>+VLOOKUP(A6,#REF!,4,FALSE)</f>
        <v>#REF!</v>
      </c>
      <c r="H6" s="1" t="s">
        <v>543</v>
      </c>
      <c r="I6" s="1" t="str">
        <f>CONCATENATE(H6,"-",$J$4,", ",$J$19)</f>
        <v>3000-strieborná , Elegant II</v>
      </c>
      <c r="J6" s="1" t="str">
        <f t="shared" si="1"/>
        <v>oliva</v>
      </c>
      <c r="K6" s="1" t="s">
        <v>251</v>
      </c>
      <c r="L6" s="1" t="s">
        <v>251</v>
      </c>
      <c r="M6" s="1" t="s">
        <v>534</v>
      </c>
      <c r="N6" s="1" t="s">
        <v>251</v>
      </c>
    </row>
    <row r="7" spans="1:15" ht="15" customHeight="1">
      <c r="A7" s="52">
        <f t="shared" si="0"/>
        <v>84394</v>
      </c>
      <c r="B7" s="52"/>
      <c r="C7" s="1" t="str">
        <f>CONCATENATE(H7,"-",$J$4,", ",$J$19)</f>
        <v>4050-strieborná , Elegant II</v>
      </c>
      <c r="D7" s="53">
        <v>84394</v>
      </c>
      <c r="E7" s="52" t="str">
        <f>+VLOOKUP(A7,cennik!$A:$G,2,FALSE)</f>
        <v>SEVROLL Elegant spodné vedenie 4,05m striebo</v>
      </c>
      <c r="F7" s="52" t="str">
        <f>+VLOOKUP(A7,cennik!A:B,2,FALSE)</f>
        <v>SEVROLL Elegant spodné vedenie 4,05m striebo</v>
      </c>
      <c r="G7" s="1" t="e">
        <f>+VLOOKUP(A7,#REF!,4,FALSE)</f>
        <v>#REF!</v>
      </c>
      <c r="H7" s="1" t="s">
        <v>544</v>
      </c>
      <c r="I7" s="1" t="str">
        <f>CONCATENATE(H7,"-",$J$4,", ",$J$19)</f>
        <v>4050-strieborná , Elegant II</v>
      </c>
      <c r="J7" s="1" t="str">
        <f t="shared" si="1"/>
        <v>oliva kartáčovaná</v>
      </c>
      <c r="K7" s="1" t="str">
        <f>texty!B131</f>
        <v>oliva kartáčovaná</v>
      </c>
      <c r="L7" s="1" t="s">
        <v>158</v>
      </c>
      <c r="M7" s="1" t="s">
        <v>492</v>
      </c>
      <c r="N7" s="1" t="str">
        <f>texty!D131</f>
        <v>oliva kartáčovaná</v>
      </c>
    </row>
    <row r="8" spans="1:15" ht="15" customHeight="1">
      <c r="A8" s="52">
        <f>+D8</f>
        <v>350687</v>
      </c>
      <c r="B8" s="52"/>
      <c r="C8" s="1" t="str">
        <f>CONCATENATE(H8,"-",$J$4,", ",$J$19)</f>
        <v>6000-strieborná , Elegant II</v>
      </c>
      <c r="D8" s="53">
        <v>350687</v>
      </c>
      <c r="E8" s="52" t="str">
        <f>+VLOOKUP(A8,cennik!$A:$G,2,FALSE)</f>
        <v/>
      </c>
      <c r="F8" s="52" t="str">
        <f>+VLOOKUP(A8,cennik!A:B,2,FALSE)</f>
        <v/>
      </c>
      <c r="G8" s="1" t="e">
        <f>+VLOOKUP(A8,#REF!,4,FALSE)</f>
        <v>#REF!</v>
      </c>
      <c r="H8" s="157" t="s">
        <v>619</v>
      </c>
      <c r="I8" s="1" t="str">
        <f>CONCATENATE(H8,"-",$J$4,", ",$J$19)</f>
        <v>6000-strieborná , Elegant II</v>
      </c>
      <c r="J8" s="1" t="str">
        <f t="shared" si="1"/>
        <v>kart. tm. oliva</v>
      </c>
      <c r="K8" s="141" t="s">
        <v>745</v>
      </c>
      <c r="L8" s="1" t="str">
        <f>texty!$C$202</f>
        <v>szálcsi.oliva sö.</v>
      </c>
      <c r="M8" s="1" t="str">
        <f>texty!$E$202</f>
        <v>szczot.oliwa ciemna</v>
      </c>
      <c r="N8" s="1" t="str">
        <f>texty!$D$202</f>
        <v>kart. tm. oliva</v>
      </c>
    </row>
    <row r="9" spans="1:15" ht="15" customHeight="1">
      <c r="A9" s="52">
        <f>+D9</f>
        <v>84383</v>
      </c>
      <c r="B9" s="52"/>
      <c r="C9" s="1" t="str">
        <f>CONCATENATE(H9,"-",$J$5,", ",$J$19)</f>
        <v>1700-zlatá, Elegant II</v>
      </c>
      <c r="D9" s="2">
        <v>84383</v>
      </c>
      <c r="E9" s="52" t="str">
        <f>+VLOOKUP(A9,cennik!$A:$G,2,FALSE)</f>
        <v>SEVROLL Elegant spodné vedenie 1,7m zlatá</v>
      </c>
      <c r="F9" s="52" t="str">
        <f>+VLOOKUP(A9,cennik!A:B,2,FALSE)</f>
        <v>SEVROLL Elegant spodné vedenie 1,7m zlatá</v>
      </c>
      <c r="G9" s="1" t="e">
        <f>+VLOOKUP(A9,#REF!,4,FALSE)</f>
        <v>#REF!</v>
      </c>
      <c r="H9" s="1" t="s">
        <v>541</v>
      </c>
      <c r="I9" s="1" t="str">
        <f>CONCATENATE(H9,"-",$J$5,", ",$J$19)</f>
        <v>1700-zlatá, Elegant II</v>
      </c>
      <c r="J9" s="1" t="str">
        <f t="shared" si="1"/>
        <v>kart. čierna</v>
      </c>
      <c r="K9" s="156" t="s">
        <v>831</v>
      </c>
      <c r="L9" s="1" t="str">
        <f>texty!$C$201</f>
        <v>szálcsi.fekete</v>
      </c>
      <c r="M9" s="1" t="str">
        <f>texty!$E$201</f>
        <v>szczot.czarna</v>
      </c>
      <c r="N9" s="1" t="str">
        <f>texty!$D$201</f>
        <v>kart. čierna</v>
      </c>
    </row>
    <row r="10" spans="1:15" ht="15" customHeight="1">
      <c r="A10" s="52">
        <f>+D10</f>
        <v>84386</v>
      </c>
      <c r="B10" s="52"/>
      <c r="C10" s="1" t="str">
        <f>CONCATENATE(H10,"-",$J$5,", ",$J$19)</f>
        <v>2350-zlatá, Elegant II</v>
      </c>
      <c r="D10" s="53">
        <v>84386</v>
      </c>
      <c r="E10" s="52" t="str">
        <f>+VLOOKUP(A10,cennik!$A:$G,2,FALSE)</f>
        <v>SEVROLL Elegant spodné vedenie 2,35m zlatá</v>
      </c>
      <c r="F10" s="52" t="str">
        <f>+VLOOKUP(A10,cennik!A:B,2,FALSE)</f>
        <v>SEVROLL Elegant spodné vedenie 2,35m zlatá</v>
      </c>
      <c r="G10" s="1" t="e">
        <f>+VLOOKUP(A10,#REF!,4,FALSE)</f>
        <v>#REF!</v>
      </c>
      <c r="H10" s="1" t="s">
        <v>542</v>
      </c>
      <c r="I10" s="1" t="str">
        <f>CONCATENATE(H10,"-",$J$5,", ",$J$19)</f>
        <v>2350-zlatá, Elegant II</v>
      </c>
      <c r="K10" s="1" t="str">
        <f>CONCATENATE(K4,";",K5,";",K6)</f>
        <v>stříbrná;zlatá;oliva</v>
      </c>
      <c r="L10" s="1" t="str">
        <f>CONCATENATE(L4,";",L5,";",L6)</f>
        <v>ezüst;arany;oliva</v>
      </c>
    </row>
    <row r="11" spans="1:15" ht="15" customHeight="1">
      <c r="A11" s="52">
        <f>+D11</f>
        <v>84389</v>
      </c>
      <c r="B11" s="52"/>
      <c r="C11" s="1" t="str">
        <f>CONCATENATE(H11,"-",$J$5,", ",$J$19)</f>
        <v>3000-zlatá, Elegant II</v>
      </c>
      <c r="D11" s="53">
        <v>84389</v>
      </c>
      <c r="E11" s="52" t="str">
        <f>+VLOOKUP(A11,cennik!$A:$G,2,FALSE)</f>
        <v>SEVROLL Elegant spodné vedenie 3m zlatá</v>
      </c>
      <c r="F11" s="52" t="str">
        <f>+VLOOKUP(A11,cennik!A:B,2,FALSE)</f>
        <v>SEVROLL Elegant spodné vedenie 3m zlatá</v>
      </c>
      <c r="G11" s="1" t="e">
        <f>+VLOOKUP(A11,#REF!,4,FALSE)</f>
        <v>#REF!</v>
      </c>
      <c r="H11" s="1" t="s">
        <v>543</v>
      </c>
      <c r="I11" s="1" t="str">
        <f>CONCATENATE(H11,"-",$J$5,", ",$J$19)</f>
        <v>3000-zlatá, Elegant II</v>
      </c>
      <c r="K11" s="1" t="s">
        <v>322</v>
      </c>
      <c r="L11" s="1" t="s">
        <v>323</v>
      </c>
    </row>
    <row r="12" spans="1:15" ht="15" customHeight="1">
      <c r="A12" s="52">
        <f t="shared" ref="A12:A19" si="2">+D12</f>
        <v>84392</v>
      </c>
      <c r="B12" s="52"/>
      <c r="C12" s="1" t="str">
        <f>CONCATENATE(H12,"-",$J$5,", ",$J$19)</f>
        <v>4050-zlatá, Elegant II</v>
      </c>
      <c r="D12" s="53">
        <v>84392</v>
      </c>
      <c r="E12" s="52" t="str">
        <f>+VLOOKUP(A12,cennik!$A:$G,2,FALSE)</f>
        <v>SEVROLL Elegant spodné vedenie 4,05m zlatá</v>
      </c>
      <c r="F12" s="52" t="str">
        <f>+VLOOKUP(A12,cennik!A:B,2,FALSE)</f>
        <v>SEVROLL Elegant spodné vedenie 4,05m zlatá</v>
      </c>
      <c r="G12" s="1" t="e">
        <f>+VLOOKUP(A12,#REF!,4,FALSE)</f>
        <v>#REF!</v>
      </c>
      <c r="H12" s="1" t="s">
        <v>544</v>
      </c>
      <c r="I12" s="1" t="str">
        <f>CONCATENATE(H12,"-",$J$5,", ",$J$19)</f>
        <v>4050-zlatá, Elegant II</v>
      </c>
    </row>
    <row r="13" spans="1:15" ht="15" customHeight="1">
      <c r="A13" s="52">
        <f t="shared" si="2"/>
        <v>334858</v>
      </c>
      <c r="B13" s="52"/>
      <c r="C13" s="1" t="str">
        <f>CONCATENATE(H13,"-",$J$5,", ",$J$19)</f>
        <v>6000-zlatá, Elegant II</v>
      </c>
      <c r="D13" s="53">
        <v>334858</v>
      </c>
      <c r="E13" s="52" t="str">
        <f>+VLOOKUP(A13,cennik!$A:$G,2,FALSE)</f>
        <v/>
      </c>
      <c r="F13" s="52" t="str">
        <f>+VLOOKUP(A13,cennik!A:B,2,FALSE)</f>
        <v/>
      </c>
      <c r="H13" s="1">
        <v>6000</v>
      </c>
      <c r="I13" s="1" t="str">
        <f>CONCATENATE(H13,"-",$J$5,", ",$J$19)</f>
        <v>6000-zlatá, Elegant II</v>
      </c>
      <c r="J13" s="1" t="str">
        <f>IF($J$1=1,K13,IF($J$1=2,N13,IF($J$1=3,M13,IF($J$1=4,L13,"zadat jazyk"))))</f>
        <v>kart. čierna</v>
      </c>
      <c r="K13" s="141" t="s">
        <v>744</v>
      </c>
      <c r="L13" t="s">
        <v>747</v>
      </c>
      <c r="M13" s="148" t="s">
        <v>746</v>
      </c>
      <c r="N13" t="s">
        <v>748</v>
      </c>
      <c r="O13"/>
    </row>
    <row r="14" spans="1:15" ht="15" customHeight="1">
      <c r="A14" s="52">
        <f t="shared" si="2"/>
        <v>318666</v>
      </c>
      <c r="B14" s="52"/>
      <c r="C14" s="1" t="str">
        <f>CONCATENATE(H14,"-",$J$6,", ",$J$19)</f>
        <v>1700-oliva, Elegant II</v>
      </c>
      <c r="D14" s="53">
        <v>318666</v>
      </c>
      <c r="E14" s="52" t="str">
        <f>+VLOOKUP(A14,cennik!$A:$G,2,FALSE)</f>
        <v/>
      </c>
      <c r="F14" s="52" t="str">
        <f>+VLOOKUP(A14,cennik!A:B,2,FALSE)</f>
        <v/>
      </c>
      <c r="G14" s="1" t="e">
        <f>+VLOOKUP(A14,#REF!,4,FALSE)</f>
        <v>#REF!</v>
      </c>
      <c r="H14" s="1" t="s">
        <v>541</v>
      </c>
      <c r="I14" s="1" t="str">
        <f>CONCATENATE(H14,"-",$J$6,", ",$J$19)</f>
        <v>1700-oliva, Elegant II</v>
      </c>
      <c r="J14" s="1" t="str">
        <f>IF($J$1=1,K14,IF($J$1=2,N14,IF($J$1=3,M14,IF($J$1=4,L14,"zadat jazyk"))))</f>
        <v>kart. tm. oliva</v>
      </c>
      <c r="K14" s="141" t="s">
        <v>745</v>
      </c>
      <c r="L14" t="s">
        <v>751</v>
      </c>
      <c r="M14" s="148" t="s">
        <v>750</v>
      </c>
      <c r="N14" t="s">
        <v>749</v>
      </c>
      <c r="O14"/>
    </row>
    <row r="15" spans="1:15" ht="15" customHeight="1">
      <c r="A15" s="52">
        <f t="shared" si="2"/>
        <v>84387</v>
      </c>
      <c r="B15" s="52"/>
      <c r="C15" s="1" t="str">
        <f>CONCATENATE(H15,"-",$J$6,", ",$J$19)</f>
        <v>2350-oliva, Elegant II</v>
      </c>
      <c r="D15" s="53">
        <v>84387</v>
      </c>
      <c r="E15" s="52" t="str">
        <f>+VLOOKUP(A15,cennik!$A:$G,2,FALSE)</f>
        <v>SEVROLL Elegant spodné vedenie 2,35m oliva</v>
      </c>
      <c r="F15" s="52" t="str">
        <f>+VLOOKUP(A15,cennik!A:B,2,FALSE)</f>
        <v>SEVROLL Elegant spodné vedenie 2,35m oliva</v>
      </c>
      <c r="G15" s="1" t="e">
        <f>+VLOOKUP(A15,#REF!,4,FALSE)</f>
        <v>#REF!</v>
      </c>
      <c r="H15" s="1" t="s">
        <v>542</v>
      </c>
      <c r="I15" s="1" t="str">
        <f>CONCATENATE(H15,"-",$J$6,", ",$J$19)</f>
        <v>2350-oliva, Elegant II</v>
      </c>
      <c r="J15" s="170" t="str">
        <f>IF($J$1=1,K15,IF($J$1=2,N15,IF($J$1=3,M15,IF($J$1=4,L15,"zadat jazyk"))))</f>
        <v>biela lesk</v>
      </c>
      <c r="K15" s="141" t="s">
        <v>2695</v>
      </c>
      <c r="L15" t="s">
        <v>2692</v>
      </c>
      <c r="M15" s="148" t="s">
        <v>2694</v>
      </c>
      <c r="N15" t="s">
        <v>2693</v>
      </c>
      <c r="O15"/>
    </row>
    <row r="16" spans="1:15" ht="15" customHeight="1">
      <c r="A16" s="52">
        <f t="shared" si="2"/>
        <v>84390</v>
      </c>
      <c r="B16" s="52"/>
      <c r="C16" s="1" t="str">
        <f>CONCATENATE(H16,"-",$J$6,", ",$J$19)</f>
        <v>3000-oliva, Elegant II</v>
      </c>
      <c r="D16" s="53">
        <v>84390</v>
      </c>
      <c r="E16" s="52" t="str">
        <f>+VLOOKUP(A16,cennik!$A:$G,2,FALSE)</f>
        <v>SEVROLL Elegant spodné vedenie 3m oliva</v>
      </c>
      <c r="F16" s="52" t="str">
        <f>+VLOOKUP(A16,cennik!A:B,2,FALSE)</f>
        <v>SEVROLL Elegant spodné vedenie 3m oliva</v>
      </c>
      <c r="G16" s="1" t="e">
        <f>+VLOOKUP(A16,#REF!,4,FALSE)</f>
        <v>#REF!</v>
      </c>
      <c r="H16" s="1" t="s">
        <v>543</v>
      </c>
      <c r="I16" s="1" t="str">
        <f>CONCATENATE(H16,"-",$J$6,", ",$J$19)</f>
        <v>3000-oliva, Elegant II</v>
      </c>
      <c r="J16" s="170" t="str">
        <f t="shared" ref="J16:J18" si="3">IF($J$1=1,K16,IF($J$1=2,N16,IF($J$1=3,M16,IF($J$1=4,L16,"zadat jazyk"))))</f>
        <v>čierna lesk</v>
      </c>
      <c r="K16" s="141" t="s">
        <v>4726</v>
      </c>
      <c r="L16" t="s">
        <v>6167</v>
      </c>
      <c r="M16" s="148" t="s">
        <v>6168</v>
      </c>
      <c r="N16" s="1" t="s">
        <v>6169</v>
      </c>
      <c r="O16"/>
    </row>
    <row r="17" spans="1:15" ht="15" customHeight="1">
      <c r="A17" s="52">
        <f t="shared" si="2"/>
        <v>84393</v>
      </c>
      <c r="B17" s="52"/>
      <c r="C17" s="1" t="str">
        <f>CONCATENATE(H17,"-",$J$6,", ",$J$19)</f>
        <v>4050-oliva, Elegant II</v>
      </c>
      <c r="D17" s="53">
        <v>84393</v>
      </c>
      <c r="E17" s="52" t="str">
        <f>+VLOOKUP(A17,cennik!$A:$G,2,FALSE)</f>
        <v>SEVROLL Elegant spodné vedenie 4,05m oliva</v>
      </c>
      <c r="F17" s="52" t="str">
        <f>+VLOOKUP(A17,cennik!A:B,2,FALSE)</f>
        <v>SEVROLL Elegant spodné vedenie 4,05m oliva</v>
      </c>
      <c r="G17" s="1" t="e">
        <f>+VLOOKUP(A17,#REF!,4,FALSE)</f>
        <v>#REF!</v>
      </c>
      <c r="H17" s="1" t="s">
        <v>544</v>
      </c>
      <c r="I17" s="1" t="str">
        <f>CONCATENATE(H17,"-",$J$6,", ",$J$19)</f>
        <v>4050-oliva, Elegant II</v>
      </c>
      <c r="J17" s="170" t="str">
        <f t="shared" si="3"/>
        <v>čierna mat</v>
      </c>
      <c r="K17" s="141" t="s">
        <v>4727</v>
      </c>
      <c r="L17" t="s">
        <v>6170</v>
      </c>
      <c r="M17" s="148" t="s">
        <v>6171</v>
      </c>
      <c r="N17" s="1" t="s">
        <v>6172</v>
      </c>
      <c r="O17"/>
    </row>
    <row r="18" spans="1:15" ht="15" customHeight="1">
      <c r="A18" s="52">
        <f t="shared" si="2"/>
        <v>350688</v>
      </c>
      <c r="B18" s="52"/>
      <c r="C18" s="1" t="str">
        <f>CONCATENATE(H18,"-",$J$6,", ",$J$19)</f>
        <v>6000-oliva, Elegant II</v>
      </c>
      <c r="D18" s="53">
        <v>350688</v>
      </c>
      <c r="E18" s="52" t="str">
        <f>+VLOOKUP(A18,cennik!$A:$G,2,FALSE)</f>
        <v/>
      </c>
      <c r="F18" s="52" t="str">
        <f>+VLOOKUP(A18,cennik!A:B,2,FALSE)</f>
        <v/>
      </c>
      <c r="H18" s="1">
        <v>6000</v>
      </c>
      <c r="I18" s="1" t="str">
        <f>CONCATENATE(H18,"-",$J$6,", ",$J$19)</f>
        <v>6000-oliva, Elegant II</v>
      </c>
      <c r="J18" s="170" t="str">
        <f t="shared" si="3"/>
        <v>biela mat</v>
      </c>
      <c r="K18" s="156" t="s">
        <v>6166</v>
      </c>
      <c r="L18" t="s">
        <v>6173</v>
      </c>
      <c r="M18" s="148" t="s">
        <v>6174</v>
      </c>
      <c r="N18" s="156" t="s">
        <v>6175</v>
      </c>
      <c r="O18"/>
    </row>
    <row r="19" spans="1:15" ht="15" customHeight="1">
      <c r="A19" s="52">
        <f t="shared" si="2"/>
        <v>276744</v>
      </c>
      <c r="B19" s="52"/>
      <c r="C19" s="1" t="str">
        <f>CONCATENATE(H19,"-",$J$15,", ",$J$19)</f>
        <v>1700-biela lesk, Elegant II</v>
      </c>
      <c r="D19" s="53">
        <v>276744</v>
      </c>
      <c r="E19" s="52" t="str">
        <f>+VLOOKUP(A19,cennik!$A:$G,2,FALSE)</f>
        <v>SEVROLL Elegant sp.ved. 1,7m biela lesk</v>
      </c>
      <c r="F19" s="52" t="str">
        <f>+VLOOKUP(A19,cennik!A:B,2,FALSE)</f>
        <v>SEVROLL Elegant sp.ved. 1,7m biela lesk</v>
      </c>
      <c r="H19" s="1">
        <v>1700</v>
      </c>
      <c r="I19" s="1" t="str">
        <f>CONCATENATE(H19,"-",$J$15,", ",$J$19)</f>
        <v>1700-biela lesk, Elegant II</v>
      </c>
      <c r="J19" s="5" t="s">
        <v>2884</v>
      </c>
      <c r="O19"/>
    </row>
    <row r="20" spans="1:15" ht="15" customHeight="1">
      <c r="A20" s="52">
        <f t="shared" ref="A20:A38" si="4">+D20</f>
        <v>276745</v>
      </c>
      <c r="B20" s="52"/>
      <c r="C20" s="1" t="str">
        <f>CONCATENATE(H20,"-",$J$15,", ",$J$19)</f>
        <v>2350-biela lesk, Elegant II</v>
      </c>
      <c r="D20" s="53">
        <v>276745</v>
      </c>
      <c r="E20" s="52" t="str">
        <f>+VLOOKUP(A20,cennik!$A:$G,2,FALSE)</f>
        <v>SEVROLL Elegant spod.ved. 2,35m biela lesk</v>
      </c>
      <c r="F20" s="52" t="str">
        <f>+VLOOKUP(A20,cennik!A:B,2,FALSE)</f>
        <v>SEVROLL Elegant spod.ved. 2,35m biela lesk</v>
      </c>
      <c r="H20" s="1">
        <v>2350</v>
      </c>
      <c r="I20" s="1" t="str">
        <f>CONCATENATE(H20,"-",$J$15,", ",$J$19)</f>
        <v>2350-biela lesk, Elegant II</v>
      </c>
      <c r="J20" s="5" t="s">
        <v>2884</v>
      </c>
    </row>
    <row r="21" spans="1:15" ht="15" customHeight="1">
      <c r="A21" s="52">
        <f t="shared" si="4"/>
        <v>252568</v>
      </c>
      <c r="B21" s="52"/>
      <c r="C21" s="1" t="str">
        <f>CONCATENATE(H21,"-",$J$15,", ",$J$19)</f>
        <v>3000-biela lesk, Elegant II</v>
      </c>
      <c r="D21" s="53">
        <v>252568</v>
      </c>
      <c r="E21" s="52" t="str">
        <f>+VLOOKUP(A21,cennik!$A:$G,2,FALSE)</f>
        <v>SEVROLL Elegant spod.vedenie 3m biela lesk</v>
      </c>
      <c r="F21" s="52" t="str">
        <f>+VLOOKUP(A21,cennik!A:B,2,FALSE)</f>
        <v>SEVROLL Elegant spod.vedenie 3m biela lesk</v>
      </c>
      <c r="H21" s="1">
        <v>3000</v>
      </c>
      <c r="I21" s="1" t="str">
        <f>CONCATENATE(H21,"-",$J$15,", ",$J$19)</f>
        <v>3000-biela lesk, Elegant II</v>
      </c>
      <c r="J21" s="156" t="s">
        <v>45</v>
      </c>
    </row>
    <row r="22" spans="1:15" ht="15" customHeight="1">
      <c r="A22" s="52">
        <f t="shared" si="4"/>
        <v>276746</v>
      </c>
      <c r="B22" s="52"/>
      <c r="C22" s="1" t="str">
        <f>CONCATENATE(H22,"-",$J$15,", ",$J$19)</f>
        <v>4050-biela lesk, Elegant II</v>
      </c>
      <c r="D22" s="53">
        <v>276746</v>
      </c>
      <c r="E22" s="52" t="str">
        <f>+VLOOKUP(A22,cennik!$A:$G,2,FALSE)</f>
        <v>SEVROLL Elegant spod.ved.4,05m biela lesk</v>
      </c>
      <c r="F22" s="52" t="str">
        <f>+VLOOKUP(A22,cennik!A:B,2,FALSE)</f>
        <v>SEVROLL Elegant spod.ved.4,05m biela lesk</v>
      </c>
      <c r="H22" s="1">
        <v>4050</v>
      </c>
      <c r="I22" s="1" t="str">
        <f>CONCATENATE(H22,"-",$J$15,", ",$J$19)</f>
        <v>4050-biela lesk, Elegant II</v>
      </c>
    </row>
    <row r="23" spans="1:15" ht="15" customHeight="1">
      <c r="A23" s="52">
        <f t="shared" si="4"/>
        <v>308645</v>
      </c>
      <c r="B23" s="52"/>
      <c r="C23" s="1" t="str">
        <f>CONCATENATE(H23,"-",$J$15,", ",$J$19)</f>
        <v>6000-biela lesk, Elegant II</v>
      </c>
      <c r="D23" s="53">
        <v>308645</v>
      </c>
      <c r="E23" s="52" t="str">
        <f>+VLOOKUP(A23,cennik!$A:$G,2,FALSE)</f>
        <v>SEVROLL Elegant sp.ved.6m RAL9003 lesk</v>
      </c>
      <c r="F23" s="52" t="str">
        <f>+VLOOKUP(A23,cennik!A:B,2,FALSE)</f>
        <v>SEVROLL Elegant sp.ved.6m RAL9003 lesk</v>
      </c>
      <c r="H23" s="1">
        <v>6000</v>
      </c>
      <c r="I23" s="1" t="str">
        <f>CONCATENATE(H23,"-",$J$15,", ",$J$19)</f>
        <v>6000-biela lesk, Elegant II</v>
      </c>
    </row>
    <row r="24" spans="1:15" ht="15" customHeight="1">
      <c r="A24" s="52">
        <f t="shared" si="4"/>
        <v>120868</v>
      </c>
      <c r="B24" s="52"/>
      <c r="C24" s="1" t="str">
        <f>CONCATENATE(H24,"-",$J$7,", ",$J$19)</f>
        <v>1700-oliva kartáčovaná, Elegant II</v>
      </c>
      <c r="D24" s="53">
        <v>120868</v>
      </c>
      <c r="E24" s="52" t="str">
        <f>+VLOOKUP(A24,cennik!$A:$G,2,FALSE)</f>
        <v>SEVROLL Elegant sp.ved.1,7m oliva kartáčovaná</v>
      </c>
      <c r="F24" s="52" t="str">
        <f>+VLOOKUP(A24,cennik!A:B,2,FALSE)</f>
        <v>SEVROLL Elegant sp.ved.1,7m oliva kartáčovaná</v>
      </c>
      <c r="H24" s="1">
        <v>1700</v>
      </c>
      <c r="I24" s="1" t="str">
        <f>CONCATENATE(H24,"-",$J$7,", ",$J$19)</f>
        <v>1700-oliva kartáčovaná, Elegant II</v>
      </c>
    </row>
    <row r="25" spans="1:15" ht="15" customHeight="1">
      <c r="A25" s="52">
        <f t="shared" si="4"/>
        <v>120869</v>
      </c>
      <c r="B25" s="52"/>
      <c r="C25" s="1" t="str">
        <f>CONCATENATE(H25,"-",$J$7,", ",$J$19)</f>
        <v>2350-oliva kartáčovaná, Elegant II</v>
      </c>
      <c r="D25" s="53">
        <v>120869</v>
      </c>
      <c r="E25" s="52" t="str">
        <f>+VLOOKUP(A25,cennik!$A:$G,2,FALSE)</f>
        <v>SEVROLL Elegant II sp.ved.2,35m oliva kartáčovaná</v>
      </c>
      <c r="F25" s="52" t="str">
        <f>+VLOOKUP(A25,cennik!A:B,2,FALSE)</f>
        <v>SEVROLL Elegant II sp.ved.2,35m oliva kartáčovaná</v>
      </c>
      <c r="H25" s="1">
        <v>2350</v>
      </c>
      <c r="I25" s="1" t="str">
        <f>CONCATENATE(H25,"-",$J$7,", ",$J$19)</f>
        <v>2350-oliva kartáčovaná, Elegant II</v>
      </c>
    </row>
    <row r="26" spans="1:15" ht="15" customHeight="1">
      <c r="A26" s="52">
        <f t="shared" si="4"/>
        <v>120870</v>
      </c>
      <c r="B26" s="52"/>
      <c r="C26" s="1" t="str">
        <f>CONCATENATE(H26,"-",$J$7,", ",$J$19)</f>
        <v>3000-oliva kartáčovaná, Elegant II</v>
      </c>
      <c r="D26" s="53">
        <v>120870</v>
      </c>
      <c r="E26" s="52" t="str">
        <f>+VLOOKUP(A26,cennik!$A:$G,2,FALSE)</f>
        <v>SEVROLL Elegant II sp.ved.3m oliva kartáč.</v>
      </c>
      <c r="F26" s="52" t="str">
        <f>+VLOOKUP(A26,cennik!A:B,2,FALSE)</f>
        <v>SEVROLL Elegant II sp.ved.3m oliva kartáč.</v>
      </c>
      <c r="H26" s="1">
        <v>3000</v>
      </c>
      <c r="I26" s="1" t="str">
        <f>CONCATENATE(H26,"-",$J$7,", ",$J$19)</f>
        <v>3000-oliva kartáčovaná, Elegant II</v>
      </c>
    </row>
    <row r="27" spans="1:15" ht="15" customHeight="1">
      <c r="A27" s="52">
        <f t="shared" si="4"/>
        <v>120871</v>
      </c>
      <c r="B27" s="52"/>
      <c r="C27" s="1" t="str">
        <f>CONCATENATE(H27,"-",$J$7,", ",$J$19)</f>
        <v>4050-oliva kartáčovaná, Elegant II</v>
      </c>
      <c r="D27" s="53">
        <v>120871</v>
      </c>
      <c r="E27" s="52" t="str">
        <f>+VLOOKUP(A27,cennik!$A:$G,2,FALSE)</f>
        <v>SEVROLL Elegant II sp.ved.4,05m oliva kartáč</v>
      </c>
      <c r="F27" s="52" t="str">
        <f>+VLOOKUP(A27,cennik!A:B,2,FALSE)</f>
        <v>SEVROLL Elegant II sp.ved.4,05m oliva kartáč</v>
      </c>
      <c r="H27" s="1">
        <v>4050</v>
      </c>
      <c r="I27" s="1" t="str">
        <f>CONCATENATE(H27,"-",$J$7,", ",$J$19)</f>
        <v>4050-oliva kartáčovaná, Elegant II</v>
      </c>
    </row>
    <row r="28" spans="1:15" ht="15" customHeight="1">
      <c r="A28" s="52">
        <f t="shared" si="4"/>
        <v>225367</v>
      </c>
      <c r="B28" s="52"/>
      <c r="C28" s="1" t="str">
        <f>CONCATENATE(H28,"-",$J$7,", ",$J$19)</f>
        <v>6000-oliva kartáčovaná, Elegant II</v>
      </c>
      <c r="D28" s="53">
        <v>225367</v>
      </c>
      <c r="E28" s="52" t="str">
        <f>+VLOOKUP(A28,cennik!$A:$G,2,FALSE)</f>
        <v>SEVROLL Elegant spod.vedenie 6m oliva kartáčovaná</v>
      </c>
      <c r="F28" s="52" t="str">
        <f>+VLOOKUP(A28,cennik!A:B,2,FALSE)</f>
        <v>SEVROLL Elegant spod.vedenie 6m oliva kartáčovaná</v>
      </c>
      <c r="H28" s="1">
        <v>6000</v>
      </c>
      <c r="I28" s="1" t="str">
        <f>CONCATENATE(H28,"-",$J$7,", ",$J$19)</f>
        <v>6000-oliva kartáčovaná, Elegant II</v>
      </c>
    </row>
    <row r="29" spans="1:15" ht="15" customHeight="1">
      <c r="A29" s="52">
        <f t="shared" si="4"/>
        <v>205089</v>
      </c>
      <c r="B29" s="52"/>
      <c r="C29" s="1" t="str">
        <f>CONCATENATE(H29,"-",$J$8,", ",$J$19)</f>
        <v>1700-kart. tm. oliva, Elegant II</v>
      </c>
      <c r="D29" s="53">
        <v>205089</v>
      </c>
      <c r="E29" s="52" t="str">
        <f>+VLOOKUP(A29,cennik!$A:$G,2,FALSE)</f>
        <v>SEVROLL Elegant sp.ved.1,7m ovliva tm. Kartáčovaná</v>
      </c>
      <c r="F29" s="52" t="str">
        <f>+VLOOKUP(A29,cennik!A:B,2,FALSE)</f>
        <v>SEVROLL Elegant sp.ved.1,7m ovliva tm. Kartáčovaná</v>
      </c>
      <c r="H29" s="1">
        <v>1700</v>
      </c>
      <c r="I29" s="1" t="str">
        <f>CONCATENATE(H29,"-",$J$8,", ",$J$19)</f>
        <v>1700-kart. tm. oliva, Elegant II</v>
      </c>
    </row>
    <row r="30" spans="1:15" ht="15" customHeight="1">
      <c r="A30" s="52">
        <f t="shared" si="4"/>
        <v>205078</v>
      </c>
      <c r="B30" s="52"/>
      <c r="C30" s="1" t="str">
        <f>CONCATENATE(H30,"-",$J$8,", ",$J$19)</f>
        <v>2350-kart. tm. oliva, Elegant II</v>
      </c>
      <c r="D30" s="53">
        <v>205078</v>
      </c>
      <c r="E30" s="52" t="str">
        <f>+VLOOKUP(A30,cennik!$A:$G,2,FALSE)</f>
        <v>SEVROLL Elegant sp.ved.2,35m ovliva tm. Kartáčovaná</v>
      </c>
      <c r="F30" s="52" t="str">
        <f>+VLOOKUP(A30,cennik!A:B,2,FALSE)</f>
        <v>SEVROLL Elegant sp.ved.2,35m ovliva tm. Kartáčovaná</v>
      </c>
      <c r="H30" s="1">
        <v>2350</v>
      </c>
      <c r="I30" s="1" t="str">
        <f>CONCATENATE(H30,"-",$J$8,", ",$J$19)</f>
        <v>2350-kart. tm. oliva, Elegant II</v>
      </c>
    </row>
    <row r="31" spans="1:15" ht="15" customHeight="1">
      <c r="A31" s="52">
        <f t="shared" si="4"/>
        <v>205098</v>
      </c>
      <c r="B31" s="52"/>
      <c r="C31" s="1" t="str">
        <f>CONCATENATE(H31,"-",$J$8,", ",$J$19)</f>
        <v>3000-kart. tm. oliva, Elegant II</v>
      </c>
      <c r="D31" s="53">
        <v>205098</v>
      </c>
      <c r="E31" s="52" t="str">
        <f>+VLOOKUP(A31,cennik!$A:$G,2,FALSE)</f>
        <v>SEVROLL Elegant sp.ved.3m ovliva tm.kartáč.</v>
      </c>
      <c r="F31" s="52" t="str">
        <f>+VLOOKUP(A31,cennik!A:B,2,FALSE)</f>
        <v>SEVROLL Elegant sp.ved.3m ovliva tm.kartáč.</v>
      </c>
      <c r="H31" s="1">
        <v>3000</v>
      </c>
      <c r="I31" s="1" t="str">
        <f>CONCATENATE(H31,"-",$J$8,", ",$J$19)</f>
        <v>3000-kart. tm. oliva, Elegant II</v>
      </c>
    </row>
    <row r="32" spans="1:15" ht="15" customHeight="1">
      <c r="A32" s="52">
        <f t="shared" si="4"/>
        <v>205087</v>
      </c>
      <c r="B32" s="52"/>
      <c r="C32" s="1" t="str">
        <f>CONCATENATE(H32,"-",$J$8,", ",$J$19)</f>
        <v>4050-kart. tm. oliva, Elegant II</v>
      </c>
      <c r="D32" s="53">
        <v>205087</v>
      </c>
      <c r="E32" s="52" t="str">
        <f>+VLOOKUP(A32,cennik!$A:$G,2,FALSE)</f>
        <v>SEVROLL Elegant sp.ved.4,05m ovliva tm. Kartáčovaná</v>
      </c>
      <c r="F32" s="52" t="str">
        <f>+VLOOKUP(A32,cennik!A:B,2,FALSE)</f>
        <v>SEVROLL Elegant sp.ved.4,05m ovliva tm. Kartáčovaná</v>
      </c>
      <c r="H32" s="1">
        <v>4050</v>
      </c>
      <c r="I32" s="1" t="str">
        <f>CONCATENATE(H32,"-",$J$8,", ",$J$19)</f>
        <v>4050-kart. tm. oliva, Elegant II</v>
      </c>
    </row>
    <row r="33" spans="1:9" ht="15" customHeight="1">
      <c r="A33" s="52">
        <f t="shared" si="4"/>
        <v>225368</v>
      </c>
      <c r="B33" s="52"/>
      <c r="C33" s="1" t="str">
        <f>CONCATENATE(H33,"-",$J$8,", ",$J$19)</f>
        <v>6000-kart. tm. oliva, Elegant II</v>
      </c>
      <c r="D33" s="53">
        <v>225368</v>
      </c>
      <c r="E33" s="52" t="str">
        <f>+VLOOKUP(A33,cennik!$A:$G,2,FALSE)</f>
        <v>SEVROLL Elegant spod.ved. 6m oliva tm.kartáčovaná</v>
      </c>
      <c r="F33" s="52" t="str">
        <f>+VLOOKUP(A33,cennik!A:B,2,FALSE)</f>
        <v>SEVROLL Elegant spod.ved. 6m oliva tm.kartáčovaná</v>
      </c>
      <c r="H33" s="1">
        <v>6000</v>
      </c>
      <c r="I33" s="1" t="str">
        <f>CONCATENATE(H33,"-",$J$8,", ",$J$19)</f>
        <v>6000-kart. tm. oliva, Elegant II</v>
      </c>
    </row>
    <row r="34" spans="1:9" ht="15" customHeight="1">
      <c r="A34" s="52">
        <f t="shared" si="4"/>
        <v>205090</v>
      </c>
      <c r="B34" s="52"/>
      <c r="C34" s="1" t="str">
        <f>CONCATENATE(H34,"-",$J$9,", ",$J$19)</f>
        <v>1700-kart. čierna, Elegant II</v>
      </c>
      <c r="D34" s="53">
        <v>205090</v>
      </c>
      <c r="E34" s="52" t="str">
        <f>+VLOOKUP(A34,cennik!$A:$G,2,FALSE)</f>
        <v>SEVROLL Elegant sp.ved.1,7m čierna kartáč.</v>
      </c>
      <c r="F34" s="52" t="str">
        <f>+VLOOKUP(A34,cennik!A:B,2,FALSE)</f>
        <v>SEVROLL Elegant sp.ved.1,7m čierna kartáč.</v>
      </c>
      <c r="H34" s="1">
        <v>1700</v>
      </c>
      <c r="I34" s="1" t="str">
        <f>CONCATENATE(H34,"-",$J$9,", ",$J$19)</f>
        <v>1700-kart. čierna, Elegant II</v>
      </c>
    </row>
    <row r="35" spans="1:9" ht="15" customHeight="1">
      <c r="A35" s="52">
        <f t="shared" si="4"/>
        <v>205079</v>
      </c>
      <c r="B35" s="52"/>
      <c r="C35" s="1" t="str">
        <f>CONCATENATE(H35,"-",$J$9,", ",$J$19)</f>
        <v>2350-kart. čierna, Elegant II</v>
      </c>
      <c r="D35" s="53">
        <v>205079</v>
      </c>
      <c r="E35" s="52" t="str">
        <f>+VLOOKUP(A35,cennik!$A:$G,2,FALSE)</f>
        <v>SEVROLL Elegant sp.ved.2,35m čierna kartáč.</v>
      </c>
      <c r="F35" s="52" t="str">
        <f>+VLOOKUP(A35,cennik!A:B,2,FALSE)</f>
        <v>SEVROLL Elegant sp.ved.2,35m čierna kartáč.</v>
      </c>
      <c r="H35" s="1">
        <v>2350</v>
      </c>
      <c r="I35" s="1" t="str">
        <f>CONCATENATE(H35,"-",$J$9,", ",$J$19)</f>
        <v>2350-kart. čierna, Elegant II</v>
      </c>
    </row>
    <row r="36" spans="1:9" ht="15" customHeight="1">
      <c r="A36" s="52">
        <f t="shared" si="4"/>
        <v>205186</v>
      </c>
      <c r="B36" s="52"/>
      <c r="C36" s="1" t="str">
        <f>CONCATENATE(H36,"-",$J$9,", ",$J$19)</f>
        <v>3000-kart. čierna, Elegant II</v>
      </c>
      <c r="D36" s="53">
        <v>205186</v>
      </c>
      <c r="E36" s="52" t="str">
        <f>+VLOOKUP(A36,cennik!$A:$G,2,FALSE)</f>
        <v>SEVROLL Elegant sp.ved.3m čierna kartáč.</v>
      </c>
      <c r="F36" s="52" t="str">
        <f>+VLOOKUP(A36,cennik!A:B,2,FALSE)</f>
        <v>SEVROLL Elegant sp.ved.3m čierna kartáč.</v>
      </c>
      <c r="H36" s="1">
        <v>3000</v>
      </c>
      <c r="I36" s="1" t="str">
        <f>CONCATENATE(H36,"-",$J$9,", ",$J$19)</f>
        <v>3000-kart. čierna, Elegant II</v>
      </c>
    </row>
    <row r="37" spans="1:9" ht="15" customHeight="1">
      <c r="A37" s="52">
        <f t="shared" si="4"/>
        <v>205088</v>
      </c>
      <c r="B37" s="52"/>
      <c r="C37" s="1" t="str">
        <f>CONCATENATE(H37,"-",$J$9,", ",$J$19)</f>
        <v>4050-kart. čierna, Elegant II</v>
      </c>
      <c r="D37" s="53">
        <v>205088</v>
      </c>
      <c r="E37" s="52" t="str">
        <f>+VLOOKUP(A37,cennik!$A:$G,2,FALSE)</f>
        <v>SEVROLL Elegant sp.ved.4,05m čierna kartáč.</v>
      </c>
      <c r="F37" s="52" t="str">
        <f>+VLOOKUP(A37,cennik!A:B,2,FALSE)</f>
        <v>SEVROLL Elegant sp.ved.4,05m čierna kartáč.</v>
      </c>
      <c r="H37" s="1">
        <v>4050</v>
      </c>
      <c r="I37" s="1" t="str">
        <f>CONCATENATE(H37,"-",$J$9,", ",$J$19)</f>
        <v>4050-kart. čierna, Elegant II</v>
      </c>
    </row>
    <row r="38" spans="1:9" ht="15" customHeight="1">
      <c r="A38" s="52">
        <f t="shared" si="4"/>
        <v>225369</v>
      </c>
      <c r="B38" s="52"/>
      <c r="C38" s="1" t="str">
        <f>CONCATENATE(H38,"-",$J$9,", ",$J$19)</f>
        <v>6000-kart. čierna, Elegant II</v>
      </c>
      <c r="D38" s="53">
        <v>225369</v>
      </c>
      <c r="E38" s="52" t="str">
        <f>+VLOOKUP(A38,cennik!$A:$G,2,FALSE)</f>
        <v>SEVROLL Elegant spod.ved. 6m čierna kartáč.</v>
      </c>
      <c r="F38" s="52" t="str">
        <f>+VLOOKUP(A38,cennik!A:B,2,FALSE)</f>
        <v>SEVROLL Elegant spod.ved. 6m čierna kartáč.</v>
      </c>
      <c r="H38" s="1">
        <v>6000</v>
      </c>
      <c r="I38" s="1" t="str">
        <f>CONCATENATE(H38,"-",$J$9,", ",$J$19)</f>
        <v>6000-kart. čierna, Elegant II</v>
      </c>
    </row>
    <row r="39" spans="1:9" ht="15" customHeight="1">
      <c r="A39" s="52">
        <f t="shared" ref="A39:A73" si="5">+D39</f>
        <v>84410</v>
      </c>
      <c r="B39" s="52"/>
      <c r="C39" s="1" t="str">
        <f>CONCATENATE(H39,"-",$J$4,", ",$J$21)</f>
        <v>1700-strieborná , Gemini</v>
      </c>
      <c r="D39" s="53">
        <v>84410</v>
      </c>
      <c r="E39" s="52" t="str">
        <f>+VLOOKUP(A39,cennik!$A:$G,2,FALSE)</f>
        <v>SEVROLL-Gemini spodné vedenie 1,7m strie</v>
      </c>
      <c r="F39" s="52" t="str">
        <f>+VLOOKUP(A39,cennik!A:B,2,FALSE)</f>
        <v>SEVROLL-Gemini spodné vedenie 1,7m strie</v>
      </c>
      <c r="H39" s="1">
        <v>1700</v>
      </c>
      <c r="I39" s="1" t="str">
        <f>CONCATENATE(H39,"-",$J$4,", ",$J$21)</f>
        <v>1700-strieborná , Gemini</v>
      </c>
    </row>
    <row r="40" spans="1:9" ht="15" customHeight="1">
      <c r="A40" s="52">
        <f t="shared" si="5"/>
        <v>98057</v>
      </c>
      <c r="B40" s="52"/>
      <c r="C40" s="1" t="str">
        <f>CONCATENATE(H40,"-",$J$4,", ",$J$21)</f>
        <v>2350-strieborná , Gemini</v>
      </c>
      <c r="D40" s="53">
        <v>98057</v>
      </c>
      <c r="E40" s="52" t="str">
        <f>+VLOOKUP(A40,cennik!$A:$G,2,FALSE)</f>
        <v>SEVROLL Gemini spodné vedenie 2,35m striebor</v>
      </c>
      <c r="F40" s="52" t="str">
        <f>+VLOOKUP(A40,cennik!A:B,2,FALSE)</f>
        <v>SEVROLL Gemini spodné vedenie 2,35m striebor</v>
      </c>
      <c r="H40" s="1">
        <v>2350</v>
      </c>
      <c r="I40" s="1" t="str">
        <f>CONCATENATE(H40,"-",$J$4,", ",$J$21)</f>
        <v>2350-strieborná , Gemini</v>
      </c>
    </row>
    <row r="41" spans="1:9" ht="15" customHeight="1">
      <c r="A41" s="52">
        <f t="shared" si="5"/>
        <v>84412</v>
      </c>
      <c r="B41" s="52"/>
      <c r="C41" s="1" t="str">
        <f>CONCATENATE(H41,"-",$J$4,", ",$J$21)</f>
        <v>3000-strieborná , Gemini</v>
      </c>
      <c r="D41" s="53">
        <v>84412</v>
      </c>
      <c r="E41" s="52" t="str">
        <f>+VLOOKUP(A41,cennik!$A:$G,2,FALSE)</f>
        <v>SEVROLL-Gemini spodné vedenie 3m striebo</v>
      </c>
      <c r="F41" s="52" t="str">
        <f>+VLOOKUP(A41,cennik!A:B,2,FALSE)</f>
        <v>SEVROLL-Gemini spodné vedenie 3m striebo</v>
      </c>
      <c r="H41" s="1">
        <v>3000</v>
      </c>
      <c r="I41" s="1" t="str">
        <f>CONCATENATE(H41,"-",$J$4,", ",$J$21)</f>
        <v>3000-strieborná , Gemini</v>
      </c>
    </row>
    <row r="42" spans="1:9" ht="15" customHeight="1">
      <c r="A42" s="52">
        <f t="shared" si="5"/>
        <v>98058</v>
      </c>
      <c r="B42" s="52"/>
      <c r="C42" s="1" t="str">
        <f>CONCATENATE(H42,"-",$J$4,", ",$J$21)</f>
        <v>4050-strieborná , Gemini</v>
      </c>
      <c r="D42" s="53">
        <v>98058</v>
      </c>
      <c r="E42" s="52" t="str">
        <f>+VLOOKUP(A42,cennik!$A:$G,2,FALSE)</f>
        <v>SEVROLL Gemini spodné vedenie 4,05m striebor</v>
      </c>
      <c r="F42" s="52" t="str">
        <f>+VLOOKUP(A42,cennik!A:B,2,FALSE)</f>
        <v>SEVROLL Gemini spodné vedenie 4,05m striebor</v>
      </c>
      <c r="H42" s="1">
        <v>4050</v>
      </c>
      <c r="I42" s="1" t="str">
        <f>CONCATENATE(H42,"-",$J$4,", ",$J$21)</f>
        <v>4050-strieborná , Gemini</v>
      </c>
    </row>
    <row r="43" spans="1:9" ht="15" customHeight="1">
      <c r="A43" s="52">
        <f t="shared" si="5"/>
        <v>159409</v>
      </c>
      <c r="B43" s="52"/>
      <c r="C43" s="1" t="str">
        <f>CONCATENATE(H43,"-",$J$4,", ",$J$21)</f>
        <v>6000-strieborná , Gemini</v>
      </c>
      <c r="D43" s="53">
        <v>159409</v>
      </c>
      <c r="E43" s="52" t="str">
        <f>+VLOOKUP(A43,cennik!$A:$G,2,FALSE)</f>
        <v>SEVROLL Gemini spodné vedenie 6m strieborná</v>
      </c>
      <c r="F43" s="52" t="str">
        <f>+VLOOKUP(A43,cennik!A:B,2,FALSE)</f>
        <v>SEVROLL Gemini spodné vedenie 6m strieborná</v>
      </c>
      <c r="H43" s="1">
        <v>6000</v>
      </c>
      <c r="I43" s="1" t="str">
        <f>CONCATENATE(H43,"-",$J$4,", ",$J$21)</f>
        <v>6000-strieborná , Gemini</v>
      </c>
    </row>
    <row r="44" spans="1:9" ht="15" customHeight="1">
      <c r="A44" s="52">
        <f t="shared" si="5"/>
        <v>308647</v>
      </c>
      <c r="B44" s="52"/>
      <c r="C44" s="1" t="str">
        <f>CONCATENATE(H44,"-",$J$6,", ",$J$21)</f>
        <v>1700-oliva, Gemini</v>
      </c>
      <c r="D44" s="53">
        <v>308647</v>
      </c>
      <c r="E44" s="52" t="str">
        <f>+VLOOKUP(A44,cennik!$A:$G,2,FALSE)</f>
        <v>SEVROLL Gemini spodné vedenie 1,7m oliva</v>
      </c>
      <c r="F44" s="52" t="str">
        <f>+VLOOKUP(A44,cennik!A:B,2,FALSE)</f>
        <v>SEVROLL Gemini spodné vedenie 1,7m oliva</v>
      </c>
      <c r="H44" s="1">
        <v>1700</v>
      </c>
      <c r="I44" s="1" t="str">
        <f>CONCATENATE(H44,"-",$J$6,", ",$J$21)</f>
        <v>1700-oliva, Gemini</v>
      </c>
    </row>
    <row r="45" spans="1:9" ht="15" customHeight="1">
      <c r="A45" s="52">
        <f t="shared" si="5"/>
        <v>308653</v>
      </c>
      <c r="B45" s="52"/>
      <c r="C45" s="1" t="str">
        <f>CONCATENATE(H45,"-",$J$6,", ",$J$21)</f>
        <v>2350-oliva, Gemini</v>
      </c>
      <c r="D45" s="53">
        <v>308653</v>
      </c>
      <c r="E45" s="52" t="str">
        <f>+VLOOKUP(A45,cennik!$A:$G,2,FALSE)</f>
        <v>SEVROLL Gemini spodné vedenie 2,35m oliva</v>
      </c>
      <c r="F45" s="52" t="str">
        <f>+VLOOKUP(A45,cennik!A:B,2,FALSE)</f>
        <v>SEVROLL Gemini spodné vedenie 2,35m oliva</v>
      </c>
      <c r="H45" s="1">
        <v>2350</v>
      </c>
      <c r="I45" s="1" t="str">
        <f>CONCATENATE(H45,"-",$J$6,", ",$J$21)</f>
        <v>2350-oliva, Gemini</v>
      </c>
    </row>
    <row r="46" spans="1:9" ht="15" customHeight="1">
      <c r="A46" s="52">
        <f t="shared" si="5"/>
        <v>308657</v>
      </c>
      <c r="B46" s="52"/>
      <c r="C46" s="1" t="str">
        <f>CONCATENATE(H46,"-",$J$6,", ",$J$21)</f>
        <v>3000-oliva, Gemini</v>
      </c>
      <c r="D46" s="53">
        <v>308657</v>
      </c>
      <c r="E46" s="52" t="str">
        <f>+VLOOKUP(A46,cennik!$A:$G,2,FALSE)</f>
        <v>SEVROLL Gemini spodné vedenie 3m oliva</v>
      </c>
      <c r="F46" s="52" t="str">
        <f>+VLOOKUP(A46,cennik!A:B,2,FALSE)</f>
        <v>SEVROLL Gemini spodné vedenie 3m oliva</v>
      </c>
      <c r="H46" s="1">
        <v>3000</v>
      </c>
      <c r="I46" s="1" t="str">
        <f>CONCATENATE(H46,"-",$J$6,", ",$J$21)</f>
        <v>3000-oliva, Gemini</v>
      </c>
    </row>
    <row r="47" spans="1:9" ht="15" customHeight="1">
      <c r="A47" s="52">
        <f t="shared" si="5"/>
        <v>308666</v>
      </c>
      <c r="B47" s="52"/>
      <c r="C47" s="1" t="str">
        <f>CONCATENATE(H47,"-",$J$6,", ",$J$21)</f>
        <v>4050-oliva, Gemini</v>
      </c>
      <c r="D47" s="53">
        <v>308666</v>
      </c>
      <c r="E47" s="52" t="str">
        <f>+VLOOKUP(A47,cennik!$A:$G,2,FALSE)</f>
        <v>SEVROLL Gemini spodné vedenie 4,05m oliva</v>
      </c>
      <c r="F47" s="52" t="str">
        <f>+VLOOKUP(A47,cennik!A:B,2,FALSE)</f>
        <v>SEVROLL Gemini spodné vedenie 4,05m oliva</v>
      </c>
      <c r="H47" s="1">
        <v>4050</v>
      </c>
      <c r="I47" s="1" t="str">
        <f>CONCATENATE(H47,"-",$J$6,", ",$J$21)</f>
        <v>4050-oliva, Gemini</v>
      </c>
    </row>
    <row r="48" spans="1:9" ht="15" customHeight="1">
      <c r="A48" s="52">
        <f t="shared" si="5"/>
        <v>308668</v>
      </c>
      <c r="B48" s="52"/>
      <c r="C48" s="1" t="str">
        <f>CONCATENATE(H48,"-",$J$6,", ",$J$21)</f>
        <v>6000-oliva, Gemini</v>
      </c>
      <c r="D48" s="53">
        <v>308668</v>
      </c>
      <c r="E48" s="52" t="str">
        <f>+VLOOKUP(A48,cennik!$A:$G,2,FALSE)</f>
        <v>SEVROLL Gemini spodné vedenie 6m oliva</v>
      </c>
      <c r="F48" s="52" t="str">
        <f>+VLOOKUP(A48,cennik!A:B,2,FALSE)</f>
        <v>SEVROLL Gemini spodné vedenie 6m oliva</v>
      </c>
      <c r="H48" s="1">
        <v>6000</v>
      </c>
      <c r="I48" s="1" t="str">
        <f>CONCATENATE(H48,"-",$J$6,", ",$J$21)</f>
        <v>6000-oliva, Gemini</v>
      </c>
    </row>
    <row r="49" spans="1:9" ht="15" customHeight="1">
      <c r="A49" s="52">
        <f t="shared" si="5"/>
        <v>351475</v>
      </c>
      <c r="B49" s="52"/>
      <c r="C49" s="1" t="str">
        <f>CONCATENATE(H49,"-",$J$15,", ",$J$21)</f>
        <v>1700-biela lesk, Gemini</v>
      </c>
      <c r="D49" s="53">
        <v>351475</v>
      </c>
      <c r="E49" s="52" t="str">
        <f>+VLOOKUP(A49,cennik!$A:$G,2,FALSE)</f>
        <v>SEVROLL Gemini spodné vedenie 1,7m biela les</v>
      </c>
      <c r="F49" s="52" t="str">
        <f>+VLOOKUP(A49,cennik!A:B,2,FALSE)</f>
        <v>SEVROLL Gemini spodné vedenie 1,7m biela les</v>
      </c>
      <c r="H49" s="1">
        <v>1700</v>
      </c>
      <c r="I49" s="1" t="str">
        <f>CONCATENATE(H49,"-",$J$15,", ",$J$21)</f>
        <v>1700-biela lesk, Gemini</v>
      </c>
    </row>
    <row r="50" spans="1:9" ht="15" customHeight="1">
      <c r="A50" s="52">
        <f t="shared" si="5"/>
        <v>351476</v>
      </c>
      <c r="B50" s="52"/>
      <c r="C50" s="1" t="str">
        <f>CONCATENATE(H50,"-",$J$15,", ",$J$21)</f>
        <v>2350-biela lesk, Gemini</v>
      </c>
      <c r="D50" s="53">
        <v>351476</v>
      </c>
      <c r="E50" s="52" t="str">
        <f>+VLOOKUP(A50,cennik!$A:$G,2,FALSE)</f>
        <v>SEVROLL Gemini spodné vedenie 2,35m biela le</v>
      </c>
      <c r="F50" s="52" t="str">
        <f>+VLOOKUP(A50,cennik!A:B,2,FALSE)</f>
        <v>SEVROLL Gemini spodné vedenie 2,35m biela le</v>
      </c>
      <c r="H50" s="1">
        <v>2350</v>
      </c>
      <c r="I50" s="1" t="str">
        <f>CONCATENATE(H50,"-",$J$15,", ",$J$21)</f>
        <v>2350-biela lesk, Gemini</v>
      </c>
    </row>
    <row r="51" spans="1:9" ht="15" customHeight="1">
      <c r="A51" s="52">
        <f t="shared" si="5"/>
        <v>351517</v>
      </c>
      <c r="B51" s="52"/>
      <c r="C51" s="1" t="str">
        <f>CONCATENATE(H51,"-",$J$15,", ",$J$21)</f>
        <v>3000-biela lesk, Gemini</v>
      </c>
      <c r="D51" s="53">
        <v>351517</v>
      </c>
      <c r="E51" s="52" t="str">
        <f>+VLOOKUP(A51,cennik!$A:$G,2,FALSE)</f>
        <v>SEVROLL Gemini spodné vedenie 3m biela lesk</v>
      </c>
      <c r="F51" s="52" t="str">
        <f>+VLOOKUP(A51,cennik!A:B,2,FALSE)</f>
        <v>SEVROLL Gemini spodné vedenie 3m biela lesk</v>
      </c>
      <c r="H51" s="1">
        <v>3000</v>
      </c>
      <c r="I51" s="1" t="str">
        <f>CONCATENATE(H51,"-",$J$15,", ",$J$21)</f>
        <v>3000-biela lesk, Gemini</v>
      </c>
    </row>
    <row r="52" spans="1:9" ht="15" customHeight="1">
      <c r="A52" s="52">
        <f t="shared" si="5"/>
        <v>351541</v>
      </c>
      <c r="B52" s="52"/>
      <c r="C52" s="1" t="str">
        <f>CONCATENATE(H52,"-",$J$15,", ",$J$21)</f>
        <v>4050-biela lesk, Gemini</v>
      </c>
      <c r="D52" s="53">
        <v>351541</v>
      </c>
      <c r="E52" s="52" t="str">
        <f>+VLOOKUP(A52,cennik!$A:$G,2,FALSE)</f>
        <v>SEVROLL Gemini spodné vedenie 4,05m biela le</v>
      </c>
      <c r="F52" s="52" t="str">
        <f>+VLOOKUP(A52,cennik!A:B,2,FALSE)</f>
        <v>SEVROLL Gemini spodné vedenie 4,05m biela le</v>
      </c>
      <c r="H52" s="1">
        <v>4050</v>
      </c>
      <c r="I52" s="1" t="str">
        <f>CONCATENATE(H52,"-",$J$15,", ",$J$21)</f>
        <v>4050-biela lesk, Gemini</v>
      </c>
    </row>
    <row r="53" spans="1:9" ht="15" customHeight="1">
      <c r="A53" s="52">
        <f t="shared" si="5"/>
        <v>351578</v>
      </c>
      <c r="B53" s="52"/>
      <c r="C53" s="1" t="str">
        <f>CONCATENATE(H53,"-",$J$15,", ",$J$21)</f>
        <v>6000-biela lesk, Gemini</v>
      </c>
      <c r="D53" s="53">
        <v>351578</v>
      </c>
      <c r="E53" s="52" t="str">
        <f>+VLOOKUP(A53,cennik!$A:$G,2,FALSE)</f>
        <v>SEVROLL Gemini spodné vedenie 6m biela lesk</v>
      </c>
      <c r="F53" s="52" t="str">
        <f>+VLOOKUP(A53,cennik!A:B,2,FALSE)</f>
        <v>SEVROLL Gemini spodné vedenie 6m biela lesk</v>
      </c>
      <c r="H53" s="1">
        <v>6000</v>
      </c>
      <c r="I53" s="1" t="str">
        <f>CONCATENATE(H53,"-",$J$15,", ",$J$21)</f>
        <v>6000-biela lesk, Gemini</v>
      </c>
    </row>
    <row r="54" spans="1:9" ht="15" customHeight="1">
      <c r="A54" s="52" t="str">
        <f t="shared" si="5"/>
        <v>N/A</v>
      </c>
      <c r="B54" s="52"/>
      <c r="C54" s="1" t="str">
        <f>CONCATENATE(H54,"-",$J$5,", ",$J$21)</f>
        <v>1700-zlatá, Gemini</v>
      </c>
      <c r="D54" s="53" t="s">
        <v>156</v>
      </c>
      <c r="E54" s="52" t="e">
        <f>+VLOOKUP(A54,cennik!$A:$G,2,FALSE)</f>
        <v>#N/A</v>
      </c>
      <c r="F54" s="52" t="e">
        <f>+VLOOKUP(A54,cennik!A:B,2,FALSE)</f>
        <v>#N/A</v>
      </c>
      <c r="G54" s="1" t="e">
        <f>+VLOOKUP(A54,#REF!,4,FALSE)</f>
        <v>#REF!</v>
      </c>
      <c r="H54" s="1" t="s">
        <v>541</v>
      </c>
      <c r="I54" s="1" t="str">
        <f>CONCATENATE(H54,"-",$J$5,", ",$J$21)</f>
        <v>1700-zlatá, Gemini</v>
      </c>
    </row>
    <row r="55" spans="1:9" ht="15" customHeight="1">
      <c r="A55" s="52" t="str">
        <f t="shared" si="5"/>
        <v>N/A</v>
      </c>
      <c r="B55" s="52"/>
      <c r="C55" s="1" t="str">
        <f>CONCATENATE(H55,"-",$J$5,", ",$J$21)</f>
        <v>2350-zlatá, Gemini</v>
      </c>
      <c r="D55" s="53" t="s">
        <v>156</v>
      </c>
      <c r="E55" s="52" t="e">
        <f>+VLOOKUP(A55,cennik!$A:$G,2,FALSE)</f>
        <v>#N/A</v>
      </c>
      <c r="F55" s="52" t="e">
        <f>+VLOOKUP(A55,cennik!A:B,2,FALSE)</f>
        <v>#N/A</v>
      </c>
      <c r="H55" s="1" t="s">
        <v>542</v>
      </c>
      <c r="I55" s="1" t="str">
        <f>CONCATENATE(H55,"-",$J$5,", ",$J$21)</f>
        <v>2350-zlatá, Gemini</v>
      </c>
    </row>
    <row r="56" spans="1:9" ht="15" customHeight="1">
      <c r="A56" s="52" t="str">
        <f t="shared" si="5"/>
        <v>N/A</v>
      </c>
      <c r="B56" s="52"/>
      <c r="C56" s="1" t="str">
        <f>CONCATENATE(H56,"-",$J$5,", ",$J$21)</f>
        <v>3000-zlatá, Gemini</v>
      </c>
      <c r="D56" s="53" t="s">
        <v>156</v>
      </c>
      <c r="E56" s="52" t="e">
        <f>+VLOOKUP(A56,cennik!$A:$G,2,FALSE)</f>
        <v>#N/A</v>
      </c>
      <c r="F56" s="52" t="e">
        <f>+VLOOKUP(A56,cennik!A:B,2,FALSE)</f>
        <v>#N/A</v>
      </c>
      <c r="H56" s="1" t="s">
        <v>543</v>
      </c>
      <c r="I56" s="1" t="str">
        <f>CONCATENATE(H56,"-",$J$5,", ",$J$21)</f>
        <v>3000-zlatá, Gemini</v>
      </c>
    </row>
    <row r="57" spans="1:9" ht="15" customHeight="1">
      <c r="A57" s="52" t="str">
        <f t="shared" si="5"/>
        <v>N/A</v>
      </c>
      <c r="B57" s="52"/>
      <c r="C57" s="1" t="str">
        <f>CONCATENATE(H57,"-",$J$5,", ",$J$21)</f>
        <v>4050-zlatá, Gemini</v>
      </c>
      <c r="D57" s="53" t="s">
        <v>156</v>
      </c>
      <c r="E57" s="52" t="e">
        <f>+VLOOKUP(A57,cennik!$A:$G,2,FALSE)</f>
        <v>#N/A</v>
      </c>
      <c r="F57" s="52" t="e">
        <f>+VLOOKUP(A57,cennik!A:B,2,FALSE)</f>
        <v>#N/A</v>
      </c>
      <c r="H57" s="1" t="s">
        <v>544</v>
      </c>
      <c r="I57" s="1" t="str">
        <f>CONCATENATE(H57,"-",$J$5,", ",$J$21)</f>
        <v>4050-zlatá, Gemini</v>
      </c>
    </row>
    <row r="58" spans="1:9" ht="15" customHeight="1">
      <c r="A58" s="52" t="str">
        <f t="shared" si="5"/>
        <v>N/A</v>
      </c>
      <c r="B58" s="52"/>
      <c r="C58" s="1" t="str">
        <f>CONCATENATE(H58,"-",$J$5,", ",$J$21)</f>
        <v>6000-zlatá, Gemini</v>
      </c>
      <c r="D58" s="53" t="s">
        <v>156</v>
      </c>
      <c r="E58" s="52" t="e">
        <f>+VLOOKUP(A58,cennik!$A:$G,2,FALSE)</f>
        <v>#N/A</v>
      </c>
      <c r="F58" s="52" t="e">
        <f>+VLOOKUP(A58,cennik!A:B,2,FALSE)</f>
        <v>#N/A</v>
      </c>
      <c r="H58" s="1">
        <v>6000</v>
      </c>
      <c r="I58" s="1" t="str">
        <f>CONCATENATE(H58,"-",$J$5,", ",$J$21)</f>
        <v>6000-zlatá, Gemini</v>
      </c>
    </row>
    <row r="59" spans="1:9" ht="15" customHeight="1">
      <c r="A59" s="52" t="str">
        <f t="shared" si="5"/>
        <v>N/A</v>
      </c>
      <c r="B59" s="52"/>
      <c r="C59" s="1" t="str">
        <f>CONCATENATE(H59,"-",$J$7,", ",$J$21)</f>
        <v>1700-oliva kartáčovaná, Gemini</v>
      </c>
      <c r="D59" s="53" t="s">
        <v>156</v>
      </c>
      <c r="E59" s="52" t="e">
        <f>+VLOOKUP(A59,cennik!$A:$G,2,FALSE)</f>
        <v>#N/A</v>
      </c>
      <c r="F59" s="52" t="e">
        <f>+VLOOKUP(A59,cennik!A:B,2,FALSE)</f>
        <v>#N/A</v>
      </c>
      <c r="G59" s="1" t="e">
        <f>+VLOOKUP(A59,#REF!,4,FALSE)</f>
        <v>#REF!</v>
      </c>
      <c r="H59" s="1" t="s">
        <v>541</v>
      </c>
      <c r="I59" s="1" t="str">
        <f>CONCATENATE(H59,"-",$J$7,", ",$J$21)</f>
        <v>1700-oliva kartáčovaná, Gemini</v>
      </c>
    </row>
    <row r="60" spans="1:9" ht="15" customHeight="1">
      <c r="A60" s="52" t="str">
        <f t="shared" si="5"/>
        <v>N/A</v>
      </c>
      <c r="B60" s="52"/>
      <c r="C60" s="1" t="str">
        <f>CONCATENATE(H60,"-",$J$7,", ",$J$21)</f>
        <v>2350-oliva kartáčovaná, Gemini</v>
      </c>
      <c r="D60" s="53" t="s">
        <v>156</v>
      </c>
      <c r="E60" s="52" t="e">
        <f>+VLOOKUP(A60,cennik!$A:$G,2,FALSE)</f>
        <v>#N/A</v>
      </c>
      <c r="F60" s="52" t="e">
        <f>+VLOOKUP(A60,cennik!A:B,2,FALSE)</f>
        <v>#N/A</v>
      </c>
      <c r="H60" s="1" t="s">
        <v>542</v>
      </c>
      <c r="I60" s="1" t="str">
        <f>CONCATENATE(H60,"-",$J$7,", ",$J$21)</f>
        <v>2350-oliva kartáčovaná, Gemini</v>
      </c>
    </row>
    <row r="61" spans="1:9" ht="15" customHeight="1">
      <c r="A61" s="52" t="str">
        <f t="shared" si="5"/>
        <v>N/A</v>
      </c>
      <c r="B61" s="52"/>
      <c r="C61" s="1" t="str">
        <f>CONCATENATE(H61,"-",$J$7,", ",$J$21)</f>
        <v>3000-oliva kartáčovaná, Gemini</v>
      </c>
      <c r="D61" s="53" t="s">
        <v>156</v>
      </c>
      <c r="E61" s="52" t="e">
        <f>+VLOOKUP(A61,cennik!$A:$G,2,FALSE)</f>
        <v>#N/A</v>
      </c>
      <c r="F61" s="52" t="e">
        <f>+VLOOKUP(A61,cennik!A:B,2,FALSE)</f>
        <v>#N/A</v>
      </c>
      <c r="H61" s="1" t="s">
        <v>543</v>
      </c>
      <c r="I61" s="1" t="str">
        <f>CONCATENATE(H61,"-",$J$7,", ",$J$21)</f>
        <v>3000-oliva kartáčovaná, Gemini</v>
      </c>
    </row>
    <row r="62" spans="1:9" ht="15" customHeight="1">
      <c r="A62" s="52" t="str">
        <f t="shared" si="5"/>
        <v>N/A</v>
      </c>
      <c r="B62" s="52"/>
      <c r="C62" s="1" t="str">
        <f>CONCATENATE(H62,"-",$J$7,", ",$J$21)</f>
        <v>4050-oliva kartáčovaná, Gemini</v>
      </c>
      <c r="D62" s="53" t="s">
        <v>156</v>
      </c>
      <c r="E62" s="52" t="e">
        <f>+VLOOKUP(A62,cennik!$A:$G,2,FALSE)</f>
        <v>#N/A</v>
      </c>
      <c r="F62" s="52" t="e">
        <f>+VLOOKUP(A62,cennik!A:B,2,FALSE)</f>
        <v>#N/A</v>
      </c>
      <c r="H62" s="1" t="s">
        <v>544</v>
      </c>
      <c r="I62" s="1" t="str">
        <f>CONCATENATE(H62,"-",$J$7,", ",$J$21)</f>
        <v>4050-oliva kartáčovaná, Gemini</v>
      </c>
    </row>
    <row r="63" spans="1:9" ht="15" customHeight="1">
      <c r="A63" s="52" t="str">
        <f t="shared" si="5"/>
        <v>N/A</v>
      </c>
      <c r="B63" s="52"/>
      <c r="C63" s="1" t="str">
        <f>CONCATENATE(H63,"-",$J$7,", ",$J$21)</f>
        <v>6000-oliva kartáčovaná, Gemini</v>
      </c>
      <c r="D63" s="53" t="s">
        <v>156</v>
      </c>
      <c r="E63" s="52" t="e">
        <f>+VLOOKUP(A63,cennik!$A:$G,2,FALSE)</f>
        <v>#N/A</v>
      </c>
      <c r="F63" s="52" t="e">
        <f>+VLOOKUP(A63,cennik!A:B,2,FALSE)</f>
        <v>#N/A</v>
      </c>
      <c r="H63" s="1">
        <v>6000</v>
      </c>
      <c r="I63" s="1" t="str">
        <f>CONCATENATE(H63,"-",$J$7,", ",$J$21)</f>
        <v>6000-oliva kartáčovaná, Gemini</v>
      </c>
    </row>
    <row r="64" spans="1:9" ht="15" customHeight="1">
      <c r="A64" s="52" t="str">
        <f t="shared" si="5"/>
        <v>N/A</v>
      </c>
      <c r="B64" s="52"/>
      <c r="C64" s="1" t="str">
        <f>CONCATENATE(H64,"-",$J$8,", ",$J$21)</f>
        <v>1700-kart. tm. oliva, Gemini</v>
      </c>
      <c r="D64" s="53" t="s">
        <v>156</v>
      </c>
      <c r="E64" s="52" t="e">
        <f>+VLOOKUP(A64,cennik!$A:$G,2,FALSE)</f>
        <v>#N/A</v>
      </c>
      <c r="F64" s="52" t="e">
        <f>+VLOOKUP(A64,cennik!A:B,2,FALSE)</f>
        <v>#N/A</v>
      </c>
      <c r="G64" s="1" t="e">
        <f>+VLOOKUP(A64,#REF!,4,FALSE)</f>
        <v>#REF!</v>
      </c>
      <c r="H64" s="1" t="s">
        <v>541</v>
      </c>
      <c r="I64" s="1" t="str">
        <f>CONCATENATE(H64,"-",$J$8,", ",$J$21)</f>
        <v>1700-kart. tm. oliva, Gemini</v>
      </c>
    </row>
    <row r="65" spans="1:9" ht="15" customHeight="1">
      <c r="A65" s="52" t="str">
        <f t="shared" si="5"/>
        <v>N/A</v>
      </c>
      <c r="B65" s="52"/>
      <c r="C65" s="1" t="str">
        <f>CONCATENATE(H65,"-",$J$8,", ",$J$21)</f>
        <v>2350-kart. tm. oliva, Gemini</v>
      </c>
      <c r="D65" s="53" t="s">
        <v>156</v>
      </c>
      <c r="E65" s="52" t="e">
        <f>+VLOOKUP(A65,cennik!$A:$G,2,FALSE)</f>
        <v>#N/A</v>
      </c>
      <c r="F65" s="52" t="e">
        <f>+VLOOKUP(A65,cennik!A:B,2,FALSE)</f>
        <v>#N/A</v>
      </c>
      <c r="H65" s="1" t="s">
        <v>542</v>
      </c>
      <c r="I65" s="1" t="str">
        <f>CONCATENATE(H65,"-",$J$8,", ",$J$21)</f>
        <v>2350-kart. tm. oliva, Gemini</v>
      </c>
    </row>
    <row r="66" spans="1:9" ht="15" customHeight="1">
      <c r="A66" s="52" t="str">
        <f t="shared" si="5"/>
        <v>N/A</v>
      </c>
      <c r="B66" s="52"/>
      <c r="C66" s="1" t="str">
        <f>CONCATENATE(H66,"-",$J$8,", ",$J$21)</f>
        <v>3000-kart. tm. oliva, Gemini</v>
      </c>
      <c r="D66" s="53" t="s">
        <v>156</v>
      </c>
      <c r="E66" s="52" t="e">
        <f>+VLOOKUP(A66,cennik!$A:$G,2,FALSE)</f>
        <v>#N/A</v>
      </c>
      <c r="F66" s="52" t="e">
        <f>+VLOOKUP(A66,cennik!A:B,2,FALSE)</f>
        <v>#N/A</v>
      </c>
      <c r="H66" s="1" t="s">
        <v>543</v>
      </c>
      <c r="I66" s="1" t="str">
        <f>CONCATENATE(H66,"-",$J$8,", ",$J$21)</f>
        <v>3000-kart. tm. oliva, Gemini</v>
      </c>
    </row>
    <row r="67" spans="1:9" ht="15" customHeight="1">
      <c r="A67" s="52" t="str">
        <f t="shared" si="5"/>
        <v>N/A</v>
      </c>
      <c r="B67" s="52"/>
      <c r="C67" s="1" t="str">
        <f>CONCATENATE(H67,"-",$J$8,", ",$J$21)</f>
        <v>4050-kart. tm. oliva, Gemini</v>
      </c>
      <c r="D67" s="53" t="s">
        <v>156</v>
      </c>
      <c r="E67" s="52" t="e">
        <f>+VLOOKUP(A67,cennik!$A:$G,2,FALSE)</f>
        <v>#N/A</v>
      </c>
      <c r="F67" s="52" t="e">
        <f>+VLOOKUP(A67,cennik!A:B,2,FALSE)</f>
        <v>#N/A</v>
      </c>
      <c r="H67" s="1" t="s">
        <v>544</v>
      </c>
      <c r="I67" s="1" t="str">
        <f>CONCATENATE(H67,"-",$J$8,", ",$J$21)</f>
        <v>4050-kart. tm. oliva, Gemini</v>
      </c>
    </row>
    <row r="68" spans="1:9" ht="15" customHeight="1">
      <c r="A68" s="52" t="str">
        <f t="shared" si="5"/>
        <v>N/A</v>
      </c>
      <c r="B68" s="52"/>
      <c r="C68" s="1" t="str">
        <f>CONCATENATE(H68,"-",$J$8,", ",$J$21)</f>
        <v>6000-kart. tm. oliva, Gemini</v>
      </c>
      <c r="D68" s="53" t="s">
        <v>156</v>
      </c>
      <c r="E68" s="52" t="e">
        <f>+VLOOKUP(A68,cennik!$A:$G,2,FALSE)</f>
        <v>#N/A</v>
      </c>
      <c r="F68" s="52" t="e">
        <f>+VLOOKUP(A68,cennik!A:B,2,FALSE)</f>
        <v>#N/A</v>
      </c>
      <c r="H68" s="1">
        <v>6000</v>
      </c>
      <c r="I68" s="1" t="str">
        <f>CONCATENATE(H68,"-",$J$8,", ",$J$21)</f>
        <v>6000-kart. tm. oliva, Gemini</v>
      </c>
    </row>
    <row r="69" spans="1:9" ht="15" customHeight="1">
      <c r="A69" s="52" t="str">
        <f t="shared" si="5"/>
        <v>N/A</v>
      </c>
      <c r="B69" s="52"/>
      <c r="C69" s="1" t="str">
        <f>CONCATENATE(H69,"-",$J$9,", ",$J$21)</f>
        <v>1700-kart. čierna, Gemini</v>
      </c>
      <c r="D69" s="53" t="s">
        <v>156</v>
      </c>
      <c r="E69" s="52" t="e">
        <f>+VLOOKUP(A69,cennik!$A:$G,2,FALSE)</f>
        <v>#N/A</v>
      </c>
      <c r="F69" s="52" t="e">
        <f>+VLOOKUP(A69,cennik!A:B,2,FALSE)</f>
        <v>#N/A</v>
      </c>
      <c r="G69" s="1" t="e">
        <f>+VLOOKUP(A69,#REF!,4,FALSE)</f>
        <v>#REF!</v>
      </c>
      <c r="H69" s="1" t="s">
        <v>541</v>
      </c>
      <c r="I69" s="1" t="str">
        <f>CONCATENATE(H69,"-",$J$9,", ",$J$21)</f>
        <v>1700-kart. čierna, Gemini</v>
      </c>
    </row>
    <row r="70" spans="1:9" ht="15" customHeight="1">
      <c r="A70" s="52" t="str">
        <f t="shared" si="5"/>
        <v>N/A</v>
      </c>
      <c r="B70" s="52"/>
      <c r="C70" s="1" t="str">
        <f>CONCATENATE(H70,"-",$J$9,", ",$J$21)</f>
        <v>2350-kart. čierna, Gemini</v>
      </c>
      <c r="D70" s="53" t="s">
        <v>156</v>
      </c>
      <c r="E70" s="52" t="e">
        <f>+VLOOKUP(A70,cennik!$A:$G,2,FALSE)</f>
        <v>#N/A</v>
      </c>
      <c r="F70" s="52" t="e">
        <f>+VLOOKUP(A70,cennik!A:B,2,FALSE)</f>
        <v>#N/A</v>
      </c>
      <c r="H70" s="1" t="s">
        <v>542</v>
      </c>
      <c r="I70" s="1" t="str">
        <f>CONCATENATE(H70,"-",$J$9,", ",$J$21)</f>
        <v>2350-kart. čierna, Gemini</v>
      </c>
    </row>
    <row r="71" spans="1:9" ht="15" customHeight="1">
      <c r="A71" s="52" t="str">
        <f t="shared" si="5"/>
        <v>N/A</v>
      </c>
      <c r="B71" s="52"/>
      <c r="C71" s="1" t="str">
        <f>CONCATENATE(H71,"-",$J$9,", ",$J$21)</f>
        <v>3000-kart. čierna, Gemini</v>
      </c>
      <c r="D71" s="53" t="s">
        <v>156</v>
      </c>
      <c r="E71" s="52" t="e">
        <f>+VLOOKUP(A71,cennik!$A:$G,2,FALSE)</f>
        <v>#N/A</v>
      </c>
      <c r="F71" s="52" t="e">
        <f>+VLOOKUP(A71,cennik!A:B,2,FALSE)</f>
        <v>#N/A</v>
      </c>
      <c r="H71" s="1" t="s">
        <v>543</v>
      </c>
      <c r="I71" s="1" t="str">
        <f>CONCATENATE(H71,"-",$J$9,", ",$J$21)</f>
        <v>3000-kart. čierna, Gemini</v>
      </c>
    </row>
    <row r="72" spans="1:9" ht="15" customHeight="1">
      <c r="A72" s="52" t="str">
        <f t="shared" si="5"/>
        <v>N/A</v>
      </c>
      <c r="B72" s="52"/>
      <c r="C72" s="1" t="str">
        <f>CONCATENATE(H72,"-",$J$9,", ",$J$21)</f>
        <v>4050-kart. čierna, Gemini</v>
      </c>
      <c r="D72" s="53" t="s">
        <v>156</v>
      </c>
      <c r="E72" s="52" t="e">
        <f>+VLOOKUP(A72,cennik!$A:$G,2,FALSE)</f>
        <v>#N/A</v>
      </c>
      <c r="F72" s="52" t="e">
        <f>+VLOOKUP(A72,cennik!A:B,2,FALSE)</f>
        <v>#N/A</v>
      </c>
      <c r="H72" s="1" t="s">
        <v>544</v>
      </c>
      <c r="I72" s="1" t="str">
        <f>CONCATENATE(H72,"-",$J$9,", ",$J$21)</f>
        <v>4050-kart. čierna, Gemini</v>
      </c>
    </row>
    <row r="73" spans="1:9" ht="15" customHeight="1">
      <c r="A73" s="52" t="str">
        <f t="shared" si="5"/>
        <v>N/A</v>
      </c>
      <c r="B73" s="52"/>
      <c r="C73" s="1" t="str">
        <f>CONCATENATE(H73,"-",$J$9,", ",$J$21)</f>
        <v>6000-kart. čierna, Gemini</v>
      </c>
      <c r="D73" s="53" t="s">
        <v>156</v>
      </c>
      <c r="E73" s="52" t="e">
        <f>+VLOOKUP(A73,cennik!$A:$G,2,FALSE)</f>
        <v>#N/A</v>
      </c>
      <c r="F73" s="52" t="e">
        <f>+VLOOKUP(A73,cennik!A:B,2,FALSE)</f>
        <v>#N/A</v>
      </c>
      <c r="H73" s="1">
        <v>6000</v>
      </c>
      <c r="I73" s="1" t="str">
        <f>CONCATENATE(H73,"-",$J$9,", ",$J$21)</f>
        <v>6000-kart. čierna, Gemini</v>
      </c>
    </row>
    <row r="74" spans="1:9" ht="15" customHeight="1">
      <c r="A74" s="557">
        <v>405393</v>
      </c>
      <c r="B74" s="557"/>
      <c r="C74" s="1" t="str">
        <f>CONCATENATE(H74,"-",$J$16,", ",$J$19)</f>
        <v>1700-čierna lesk, Elegant II</v>
      </c>
      <c r="D74" s="558">
        <v>405393</v>
      </c>
      <c r="E74" s="559" t="str">
        <f>+VLOOKUP(A74,cennik!$A:$G,2,FALSE)</f>
        <v>SEVROLL Elegant sp.ved. 1,7m čierna lesk</v>
      </c>
      <c r="F74" s="559" t="str">
        <f>+VLOOKUP(A74,cennik!A:B,2,FALSE)</f>
        <v>SEVROLL Elegant sp.ved. 1,7m čierna lesk</v>
      </c>
      <c r="G74" s="557"/>
      <c r="H74" s="557">
        <v>1700</v>
      </c>
      <c r="I74" s="1" t="str">
        <f>CONCATENATE(H74,"-",$J$16,", ",$J$19)</f>
        <v>1700-čierna lesk, Elegant II</v>
      </c>
    </row>
    <row r="75" spans="1:9" ht="15" customHeight="1">
      <c r="A75" s="557">
        <v>398188</v>
      </c>
      <c r="B75" s="557"/>
      <c r="C75" s="1" t="str">
        <f t="shared" ref="C75:C78" si="6">CONCATENATE(H75,"-",$J$16,", ",$J$19)</f>
        <v>2350-čierna lesk, Elegant II</v>
      </c>
      <c r="D75" s="558">
        <v>398188</v>
      </c>
      <c r="E75" s="559" t="str">
        <f>+VLOOKUP(A75,cennik!$A:$G,2,FALSE)</f>
        <v>SEVROLL Elegant spod.ved. 2,35m čierna lesk</v>
      </c>
      <c r="F75" s="559" t="str">
        <f>+VLOOKUP(A75,cennik!A:B,2,FALSE)</f>
        <v>SEVROLL Elegant spod.ved. 2,35m čierna lesk</v>
      </c>
      <c r="G75" s="557"/>
      <c r="H75" s="557">
        <v>2350</v>
      </c>
      <c r="I75" s="1" t="str">
        <f t="shared" ref="I75:I78" si="7">CONCATENATE(H75,"-",$J$16,", ",$J$19)</f>
        <v>2350-čierna lesk, Elegant II</v>
      </c>
    </row>
    <row r="76" spans="1:9" ht="15" customHeight="1">
      <c r="A76" s="557">
        <v>405403</v>
      </c>
      <c r="B76" s="557"/>
      <c r="C76" s="1" t="str">
        <f t="shared" si="6"/>
        <v>3000-čierna lesk, Elegant II</v>
      </c>
      <c r="D76" s="558">
        <v>405403</v>
      </c>
      <c r="E76" s="559" t="str">
        <f>+VLOOKUP(A76,cennik!$A:$G,2,FALSE)</f>
        <v>SEVROLL Elegant spod.vedenie 3m čierna lesk</v>
      </c>
      <c r="F76" s="559" t="str">
        <f>+VLOOKUP(A76,cennik!A:B,2,FALSE)</f>
        <v>SEVROLL Elegant spod.vedenie 3m čierna lesk</v>
      </c>
      <c r="G76" s="557"/>
      <c r="H76" s="557">
        <v>3000</v>
      </c>
      <c r="I76" s="1" t="str">
        <f t="shared" si="7"/>
        <v>3000-čierna lesk, Elegant II</v>
      </c>
    </row>
    <row r="77" spans="1:9" ht="15" customHeight="1">
      <c r="A77" s="557">
        <v>405404</v>
      </c>
      <c r="B77" s="557"/>
      <c r="C77" s="1" t="str">
        <f t="shared" si="6"/>
        <v>4050-čierna lesk, Elegant II</v>
      </c>
      <c r="D77" s="558">
        <v>405404</v>
      </c>
      <c r="E77" s="559" t="str">
        <f>+VLOOKUP(A77,cennik!$A:$G,2,FALSE)</f>
        <v>SEVROLL Elegant spod.ved.4,05m čierna lesk</v>
      </c>
      <c r="F77" s="559" t="str">
        <f>+VLOOKUP(A77,cennik!A:B,2,FALSE)</f>
        <v>SEVROLL Elegant spod.ved.4,05m čierna lesk</v>
      </c>
      <c r="G77" s="557"/>
      <c r="H77" s="557">
        <v>4050</v>
      </c>
      <c r="I77" s="1" t="str">
        <f t="shared" si="7"/>
        <v>4050-čierna lesk, Elegant II</v>
      </c>
    </row>
    <row r="78" spans="1:9" ht="15" customHeight="1">
      <c r="A78" s="557">
        <v>405406</v>
      </c>
      <c r="B78" s="557"/>
      <c r="C78" s="1" t="str">
        <f t="shared" si="6"/>
        <v>6000-čierna lesk, Elegant II</v>
      </c>
      <c r="D78" s="558">
        <v>405406</v>
      </c>
      <c r="E78" s="559" t="str">
        <f>+VLOOKUP(A78,cennik!$A:$G,2,FALSE)</f>
        <v>SEVROLL Elegant spodné vedenie 6m čierna lesk</v>
      </c>
      <c r="F78" s="559" t="str">
        <f>+VLOOKUP(A78,cennik!A:B,2,FALSE)</f>
        <v>SEVROLL Elegant spodné vedenie 6m čierna lesk</v>
      </c>
      <c r="G78" s="557"/>
      <c r="H78" s="557">
        <v>6000</v>
      </c>
      <c r="I78" s="1" t="str">
        <f t="shared" si="7"/>
        <v>6000-čierna lesk, Elegant II</v>
      </c>
    </row>
    <row r="79" spans="1:9" ht="15" customHeight="1">
      <c r="A79" s="557">
        <v>422007</v>
      </c>
      <c r="B79" s="557"/>
      <c r="C79" s="1" t="str">
        <f>CONCATENATE(H79,"-",$J$17,", ",$J$19)</f>
        <v>1700-čierna mat, Elegant II</v>
      </c>
      <c r="D79" s="557">
        <v>422007</v>
      </c>
      <c r="E79" s="559" t="str">
        <f>+VLOOKUP(A79,cennik!$A:$G,2,FALSE)</f>
        <v>SEVROLL Elegant sp.ved. 1,7m čierna mat</v>
      </c>
      <c r="F79" s="559" t="str">
        <f>+VLOOKUP(A79,cennik!A:B,2,FALSE)</f>
        <v>SEVROLL Elegant sp.ved. 1,7m čierna mat</v>
      </c>
      <c r="G79" s="557"/>
      <c r="H79" s="557">
        <v>1700</v>
      </c>
      <c r="I79" s="1" t="str">
        <f>CONCATENATE(H79,"-",$J$17,", ",$J$19)</f>
        <v>1700-čierna mat, Elegant II</v>
      </c>
    </row>
    <row r="80" spans="1:9" ht="15" customHeight="1">
      <c r="A80" s="557">
        <v>409678</v>
      </c>
      <c r="B80" s="557"/>
      <c r="C80" s="1" t="str">
        <f t="shared" ref="C80:C83" si="8">CONCATENATE(H80,"-",$J$17,", ",$J$19)</f>
        <v>2350-čierna mat, Elegant II</v>
      </c>
      <c r="D80" s="557">
        <v>409678</v>
      </c>
      <c r="E80" s="559" t="str">
        <f>+VLOOKUP(A80,cennik!$A:$G,2,FALSE)</f>
        <v>SEVROLL Elegant spod.ved. 2,35m čierna mat</v>
      </c>
      <c r="F80" s="559" t="str">
        <f>+VLOOKUP(A80,cennik!A:B,2,FALSE)</f>
        <v>SEVROLL Elegant spod.ved. 2,35m čierna mat</v>
      </c>
      <c r="G80" s="557"/>
      <c r="H80" s="557">
        <v>2350</v>
      </c>
      <c r="I80" s="1" t="str">
        <f t="shared" ref="I80:I83" si="9">CONCATENATE(H80,"-",$J$17,", ",$J$19)</f>
        <v>2350-čierna mat, Elegant II</v>
      </c>
    </row>
    <row r="81" spans="1:9" ht="15" customHeight="1">
      <c r="A81" s="557">
        <v>412231</v>
      </c>
      <c r="B81" s="557"/>
      <c r="C81" s="1" t="str">
        <f t="shared" si="8"/>
        <v>3000-čierna mat, Elegant II</v>
      </c>
      <c r="D81" s="557">
        <v>412231</v>
      </c>
      <c r="E81" s="559" t="str">
        <f>+VLOOKUP(A81,cennik!$A:$G,2,FALSE)</f>
        <v>SEVROLL Elegant spod.ved. 3m čierna mat</v>
      </c>
      <c r="F81" s="559" t="str">
        <f>+VLOOKUP(A81,cennik!A:B,2,FALSE)</f>
        <v>SEVROLL Elegant spod.ved. 3m čierna mat</v>
      </c>
      <c r="G81" s="557"/>
      <c r="H81" s="557">
        <v>3000</v>
      </c>
      <c r="I81" s="1" t="str">
        <f t="shared" si="9"/>
        <v>3000-čierna mat, Elegant II</v>
      </c>
    </row>
    <row r="82" spans="1:9" ht="15" customHeight="1">
      <c r="A82" s="557">
        <v>409676</v>
      </c>
      <c r="B82" s="557"/>
      <c r="C82" s="1" t="str">
        <f t="shared" si="8"/>
        <v>4050-čierna mat, Elegant II</v>
      </c>
      <c r="D82" s="557">
        <v>409676</v>
      </c>
      <c r="E82" s="559" t="str">
        <f>+VLOOKUP(A82,cennik!$A:$G,2,FALSE)</f>
        <v>SEVROLL Elegant spod.ved.4,05m čierna mat</v>
      </c>
      <c r="F82" s="559" t="str">
        <f>+VLOOKUP(A82,cennik!A:B,2,FALSE)</f>
        <v>SEVROLL Elegant spod.ved.4,05m čierna mat</v>
      </c>
      <c r="G82" s="557"/>
      <c r="H82" s="557">
        <v>4050</v>
      </c>
      <c r="I82" s="1" t="str">
        <f t="shared" si="9"/>
        <v>4050-čierna mat, Elegant II</v>
      </c>
    </row>
    <row r="83" spans="1:9" ht="15" customHeight="1">
      <c r="A83" s="557">
        <v>452743</v>
      </c>
      <c r="B83" s="557"/>
      <c r="C83" s="1" t="str">
        <f t="shared" si="8"/>
        <v>6000-čierna mat, Elegant II</v>
      </c>
      <c r="D83" s="558">
        <v>452743</v>
      </c>
      <c r="E83" s="559" t="str">
        <f>+VLOOKUP(A83,cennik!$A:$G,2,FALSE)</f>
        <v>SEVROLL Elegant spodné vedenie 6m čierna mat</v>
      </c>
      <c r="F83" s="559" t="str">
        <f>+VLOOKUP(A83,cennik!A:B,2,FALSE)</f>
        <v>SEVROLL Elegant spodné vedenie 6m čierna mat</v>
      </c>
      <c r="G83" s="557"/>
      <c r="H83" s="557">
        <v>6000</v>
      </c>
      <c r="I83" s="1" t="str">
        <f t="shared" si="9"/>
        <v>6000-čierna mat, Elegant II</v>
      </c>
    </row>
    <row r="84" spans="1:9" s="578" customFormat="1" ht="15" customHeight="1">
      <c r="A84" s="577">
        <v>276743</v>
      </c>
      <c r="C84" s="1" t="str">
        <f>CONCATENATE(H84,"-",$J$18,", ",$J$19)</f>
        <v>3000-biela mat, Elegant II</v>
      </c>
      <c r="D84" s="577">
        <v>276743</v>
      </c>
      <c r="E84" s="579" t="s">
        <v>3825</v>
      </c>
      <c r="F84" s="579" t="s">
        <v>3825</v>
      </c>
      <c r="H84" s="578">
        <v>3000</v>
      </c>
      <c r="I84" s="1" t="str">
        <f>CONCATENATE(H84,"-",$J$18,", ",$J$19)</f>
        <v>3000-biela mat, Elegant II</v>
      </c>
    </row>
    <row r="85" spans="1:9" s="578" customFormat="1" ht="15" customHeight="1">
      <c r="A85" s="577">
        <v>394792</v>
      </c>
      <c r="C85" s="1" t="str">
        <f t="shared" ref="C85:C88" si="10">CONCATENATE(H85,"-",$J$18,", ",$J$19)</f>
        <v>1700-biela mat, Elegant II</v>
      </c>
      <c r="D85" s="577">
        <v>394792</v>
      </c>
      <c r="E85" s="579" t="s">
        <v>5589</v>
      </c>
      <c r="F85" s="579" t="s">
        <v>5589</v>
      </c>
      <c r="H85" s="578">
        <v>1700</v>
      </c>
      <c r="I85" s="1" t="str">
        <f t="shared" ref="I85:I88" si="11">CONCATENATE(H85,"-",$J$18,", ",$J$19)</f>
        <v>1700-biela mat, Elegant II</v>
      </c>
    </row>
    <row r="86" spans="1:9" s="578" customFormat="1" ht="15" customHeight="1">
      <c r="A86" s="577">
        <v>394795</v>
      </c>
      <c r="C86" s="1" t="str">
        <f t="shared" si="10"/>
        <v>2350-biela mat, Elegant II</v>
      </c>
      <c r="D86" s="577">
        <v>394795</v>
      </c>
      <c r="E86" s="579" t="s">
        <v>5590</v>
      </c>
      <c r="F86" s="579" t="s">
        <v>5590</v>
      </c>
      <c r="H86" s="578">
        <v>2350</v>
      </c>
      <c r="I86" s="1" t="str">
        <f t="shared" si="11"/>
        <v>2350-biela mat, Elegant II</v>
      </c>
    </row>
    <row r="87" spans="1:9" s="578" customFormat="1" ht="15" customHeight="1">
      <c r="A87" s="577">
        <v>394796</v>
      </c>
      <c r="C87" s="1" t="str">
        <f t="shared" si="10"/>
        <v>4050-biela mat, Elegant II</v>
      </c>
      <c r="D87" s="577">
        <v>394796</v>
      </c>
      <c r="E87" s="579" t="s">
        <v>5591</v>
      </c>
      <c r="F87" s="579" t="s">
        <v>5591</v>
      </c>
      <c r="H87" s="578">
        <v>4050</v>
      </c>
      <c r="I87" s="1" t="str">
        <f t="shared" si="11"/>
        <v>4050-biela mat, Elegant II</v>
      </c>
    </row>
    <row r="88" spans="1:9" s="578" customFormat="1" ht="15" customHeight="1">
      <c r="A88" s="577">
        <v>394800</v>
      </c>
      <c r="C88" s="1" t="str">
        <f t="shared" si="10"/>
        <v>6000-biela mat, Elegant II</v>
      </c>
      <c r="D88" s="577">
        <v>394800</v>
      </c>
      <c r="E88" s="579" t="s">
        <v>5592</v>
      </c>
      <c r="F88" s="579" t="s">
        <v>5592</v>
      </c>
      <c r="H88" s="578">
        <v>6000</v>
      </c>
      <c r="I88" s="1" t="str">
        <f t="shared" si="11"/>
        <v>6000-biela mat, Elegant II</v>
      </c>
    </row>
    <row r="89" spans="1:9" ht="15" customHeight="1">
      <c r="A89" s="52"/>
      <c r="B89" s="181" t="s">
        <v>2889</v>
      </c>
      <c r="E89" s="52"/>
      <c r="F89" s="52"/>
    </row>
    <row r="90" spans="1:9" ht="15" customHeight="1">
      <c r="A90" s="52">
        <f t="shared" ref="A90:A99" si="12">+D90</f>
        <v>318657</v>
      </c>
      <c r="B90" s="52"/>
      <c r="C90" s="1" t="str">
        <f>CONCATENATE(H90,"-",$J$4,", ",$J$19)</f>
        <v>1700-strieborná , Elegant II</v>
      </c>
      <c r="D90" s="53">
        <v>318657</v>
      </c>
      <c r="E90" s="52" t="str">
        <f>+VLOOKUP(A90,cennik!$A:$G,2,FALSE)</f>
        <v>SEV-maska Elegant II 1,7m strieborná</v>
      </c>
      <c r="F90" s="52" t="str">
        <f>+VLOOKUP(A90,cennik!A:B,2,FALSE)</f>
        <v>SEV-maska Elegant II 1,7m strieborná</v>
      </c>
      <c r="G90" s="1" t="e">
        <f>+VLOOKUP(A90,#REF!,4,FALSE)</f>
        <v>#REF!</v>
      </c>
      <c r="H90" s="1" t="s">
        <v>541</v>
      </c>
      <c r="I90" s="1" t="str">
        <f>CONCATENATE(H90,"-",$J$4,", ",$J$19)</f>
        <v>1700-strieborná , Elegant II</v>
      </c>
    </row>
    <row r="91" spans="1:9" ht="15" customHeight="1">
      <c r="A91" s="52">
        <f t="shared" si="12"/>
        <v>318660</v>
      </c>
      <c r="B91" s="52"/>
      <c r="C91" s="1" t="str">
        <f>CONCATENATE(H91,"-",$J$4,", ",$J$19)</f>
        <v>2350-strieborná , Elegant II</v>
      </c>
      <c r="D91" s="53">
        <v>318660</v>
      </c>
      <c r="E91" s="52" t="str">
        <f>+VLOOKUP(A91,cennik!$A:$G,2,FALSE)</f>
        <v>SEV-maska Elegant II 2,35m strieborná</v>
      </c>
      <c r="F91" s="52" t="str">
        <f>+VLOOKUP(A91,cennik!A:B,2,FALSE)</f>
        <v>SEV-maska Elegant II 2,35m strieborná</v>
      </c>
      <c r="G91" s="1" t="e">
        <f>+VLOOKUP(A91,#REF!,4,FALSE)</f>
        <v>#REF!</v>
      </c>
      <c r="H91" s="1" t="s">
        <v>542</v>
      </c>
      <c r="I91" s="1" t="str">
        <f>CONCATENATE(H91,"-",$J$4,", ",$J$19)</f>
        <v>2350-strieborná , Elegant II</v>
      </c>
    </row>
    <row r="92" spans="1:9" ht="15" customHeight="1">
      <c r="A92" s="52">
        <f t="shared" si="12"/>
        <v>345408</v>
      </c>
      <c r="B92" s="52"/>
      <c r="C92" s="1" t="str">
        <f>CONCATENATE(H92,"-",$J$4,", ",$J$19)</f>
        <v>3000-strieborná , Elegant II</v>
      </c>
      <c r="D92" s="53">
        <v>345408</v>
      </c>
      <c r="E92" s="52" t="str">
        <f>+VLOOKUP(A92,cennik!$A:$G,2,FALSE)</f>
        <v>SEV-maska Elegant II 3m strieborná</v>
      </c>
      <c r="F92" s="52" t="str">
        <f>+VLOOKUP(A92,cennik!A:B,2,FALSE)</f>
        <v>SEV-maska Elegant II 3m strieborná</v>
      </c>
      <c r="G92" s="1" t="e">
        <f>+VLOOKUP(A92,#REF!,4,FALSE)</f>
        <v>#REF!</v>
      </c>
      <c r="H92" s="1" t="s">
        <v>543</v>
      </c>
      <c r="I92" s="1" t="str">
        <f>CONCATENATE(H92,"-",$J$4,", ",$J$19)</f>
        <v>3000-strieborná , Elegant II</v>
      </c>
    </row>
    <row r="93" spans="1:9" ht="15" customHeight="1">
      <c r="A93" s="52">
        <f t="shared" si="12"/>
        <v>345776</v>
      </c>
      <c r="B93" s="52"/>
      <c r="C93" s="1" t="str">
        <f>CONCATENATE(H93,"-",$J$4,", ",$J$19)</f>
        <v>4050-strieborná , Elegant II</v>
      </c>
      <c r="D93" s="53">
        <v>345776</v>
      </c>
      <c r="E93" s="52" t="str">
        <f>+VLOOKUP(A93,cennik!$A:$G,2,FALSE)</f>
        <v>SEV-maska Elegant II 4,05m strieborná</v>
      </c>
      <c r="F93" s="52" t="str">
        <f>+VLOOKUP(A93,cennik!A:B,2,FALSE)</f>
        <v>SEV-maska Elegant II 4,05m strieborná</v>
      </c>
      <c r="G93" s="1" t="e">
        <f>+VLOOKUP(A93,#REF!,4,FALSE)</f>
        <v>#REF!</v>
      </c>
      <c r="H93" s="1" t="s">
        <v>544</v>
      </c>
      <c r="I93" s="1" t="str">
        <f>CONCATENATE(H93,"-",$J$4,", ",$J$19)</f>
        <v>4050-strieborná , Elegant II</v>
      </c>
    </row>
    <row r="94" spans="1:9" ht="15" customHeight="1">
      <c r="A94" s="52">
        <f t="shared" si="12"/>
        <v>346118</v>
      </c>
      <c r="B94" s="52"/>
      <c r="C94" s="1" t="str">
        <f>CONCATENATE(H94,"-",$J$4,", ",$J$19)</f>
        <v>6000-strieborná , Elegant II</v>
      </c>
      <c r="D94" s="188">
        <v>346118</v>
      </c>
      <c r="E94" s="52" t="str">
        <f>+VLOOKUP(A94,cennik!$A:$G,2,FALSE)</f>
        <v/>
      </c>
      <c r="F94" s="52" t="str">
        <f>+VLOOKUP(A94,cennik!A:B,2,FALSE)</f>
        <v/>
      </c>
      <c r="H94" s="1">
        <v>6000</v>
      </c>
      <c r="I94" s="1" t="str">
        <f>CONCATENATE(H94,"-",$J$4,", ",$J$19)</f>
        <v>6000-strieborná , Elegant II</v>
      </c>
    </row>
    <row r="95" spans="1:9" ht="15" customHeight="1">
      <c r="A95" s="52">
        <f t="shared" si="12"/>
        <v>318655</v>
      </c>
      <c r="B95" s="52"/>
      <c r="C95" s="1" t="str">
        <f>CONCATENATE(H95,"-",$J$6,", ",$J$19)</f>
        <v>1700-oliva, Elegant II</v>
      </c>
      <c r="D95" s="53">
        <v>318655</v>
      </c>
      <c r="E95" s="52" t="str">
        <f>+VLOOKUP(A95,cennik!$A:$G,2,FALSE)</f>
        <v/>
      </c>
      <c r="F95" s="52" t="str">
        <f>+VLOOKUP(A95,cennik!A:B,2,FALSE)</f>
        <v/>
      </c>
      <c r="G95" s="1" t="e">
        <f>+VLOOKUP(A95,#REF!,4,FALSE)</f>
        <v>#REF!</v>
      </c>
      <c r="H95" s="1" t="s">
        <v>541</v>
      </c>
      <c r="I95" s="1" t="str">
        <f>CONCATENATE(H95,"-",$J$6,", ",$J$19)</f>
        <v>1700-oliva, Elegant II</v>
      </c>
    </row>
    <row r="96" spans="1:9" ht="15" customHeight="1">
      <c r="A96" s="52">
        <f t="shared" si="12"/>
        <v>318658</v>
      </c>
      <c r="B96" s="52"/>
      <c r="C96" s="1" t="str">
        <f>CONCATENATE(H96,"-",$J$6,", ",$J$19)</f>
        <v>2350-oliva, Elegant II</v>
      </c>
      <c r="D96" s="53">
        <v>318658</v>
      </c>
      <c r="E96" s="52" t="str">
        <f>+VLOOKUP(A96,cennik!$A:$G,2,FALSE)</f>
        <v/>
      </c>
      <c r="F96" s="52" t="str">
        <f>+VLOOKUP(A96,cennik!A:B,2,FALSE)</f>
        <v/>
      </c>
      <c r="G96" s="1" t="e">
        <f>+VLOOKUP(A96,#REF!,4,FALSE)</f>
        <v>#REF!</v>
      </c>
      <c r="H96" s="1" t="s">
        <v>542</v>
      </c>
      <c r="I96" s="1" t="str">
        <f>CONCATENATE(H96,"-",$J$6,", ",$J$19)</f>
        <v>2350-oliva, Elegant II</v>
      </c>
    </row>
    <row r="97" spans="1:9" ht="15" customHeight="1">
      <c r="A97" s="52">
        <f t="shared" si="12"/>
        <v>345409</v>
      </c>
      <c r="B97" s="52"/>
      <c r="C97" s="1" t="str">
        <f>CONCATENATE(H97,"-",$J$6,", ",$J$19)</f>
        <v>3000-oliva, Elegant II</v>
      </c>
      <c r="D97" s="53">
        <v>345409</v>
      </c>
      <c r="E97" s="52" t="str">
        <f>+VLOOKUP(A97,cennik!$A:$G,2,FALSE)</f>
        <v/>
      </c>
      <c r="F97" s="52" t="str">
        <f>+VLOOKUP(A97,cennik!A:B,2,FALSE)</f>
        <v/>
      </c>
      <c r="G97" s="1" t="e">
        <f>+VLOOKUP(A97,#REF!,4,FALSE)</f>
        <v>#REF!</v>
      </c>
      <c r="H97" s="1" t="s">
        <v>543</v>
      </c>
      <c r="I97" s="1" t="str">
        <f>CONCATENATE(H97,"-",$J$6,", ",$J$19)</f>
        <v>3000-oliva, Elegant II</v>
      </c>
    </row>
    <row r="98" spans="1:9" ht="15" customHeight="1">
      <c r="A98" s="52">
        <f t="shared" si="12"/>
        <v>345777</v>
      </c>
      <c r="B98" s="52"/>
      <c r="C98" s="1" t="str">
        <f>CONCATENATE(H98,"-",$J$6,", ",$J$19)</f>
        <v>4050-oliva, Elegant II</v>
      </c>
      <c r="D98" s="53">
        <v>345777</v>
      </c>
      <c r="E98" s="52" t="str">
        <f>+VLOOKUP(A98,cennik!$A:$G,2,FALSE)</f>
        <v/>
      </c>
      <c r="F98" s="52" t="str">
        <f>+VLOOKUP(A98,cennik!A:B,2,FALSE)</f>
        <v/>
      </c>
      <c r="G98" s="1" t="e">
        <f>+VLOOKUP(A98,#REF!,4,FALSE)</f>
        <v>#REF!</v>
      </c>
      <c r="H98" s="1" t="s">
        <v>544</v>
      </c>
      <c r="I98" s="1" t="str">
        <f>CONCATENATE(H98,"-",$J$6,", ",$J$19)</f>
        <v>4050-oliva, Elegant II</v>
      </c>
    </row>
    <row r="99" spans="1:9" ht="15" customHeight="1">
      <c r="A99" s="52">
        <f t="shared" si="12"/>
        <v>346119</v>
      </c>
      <c r="B99" s="52"/>
      <c r="C99" s="1" t="str">
        <f>CONCATENATE(H99,"-",$J$6,", ",$J$19)</f>
        <v>6000-oliva, Elegant II</v>
      </c>
      <c r="D99" s="53">
        <v>346119</v>
      </c>
      <c r="E99" s="52" t="str">
        <f>+VLOOKUP(A99,cennik!$A:$G,2,FALSE)</f>
        <v/>
      </c>
      <c r="F99" s="52" t="str">
        <f>+VLOOKUP(A99,cennik!A:B,2,FALSE)</f>
        <v/>
      </c>
      <c r="H99" s="1">
        <v>6000</v>
      </c>
      <c r="I99" s="1" t="str">
        <f>CONCATENATE(H99,"-",$J$6,", ",$J$19)</f>
        <v>6000-oliva, Elegant II</v>
      </c>
    </row>
    <row r="100" spans="1:9" ht="15" customHeight="1">
      <c r="A100" s="52">
        <f t="shared" ref="A100:A114" si="13">+D100</f>
        <v>345401</v>
      </c>
      <c r="B100" s="52"/>
      <c r="C100" s="1" t="str">
        <f>CONCATENATE(H100,"-",$J$7,", ",$J$19)</f>
        <v>1700-oliva kartáčovaná, Elegant II</v>
      </c>
      <c r="D100" s="53">
        <v>345401</v>
      </c>
      <c r="E100" s="52" t="str">
        <f>+VLOOKUP(A100,cennik!$A:$G,2,FALSE)</f>
        <v>SEVROLL maska Elegant II 1,7m oliva kartáčovaná</v>
      </c>
      <c r="F100" s="52" t="str">
        <f>+VLOOKUP(A100,cennik!A:B,2,FALSE)</f>
        <v>SEVROLL maska Elegant II 1,7m oliva kartáčovaná</v>
      </c>
      <c r="H100" s="1">
        <v>1700</v>
      </c>
      <c r="I100" s="1" t="str">
        <f>CONCATENATE(H100,"-",$J$7,", ",$J$19)</f>
        <v>1700-oliva kartáčovaná, Elegant II</v>
      </c>
    </row>
    <row r="101" spans="1:9" ht="15" customHeight="1">
      <c r="A101" s="52">
        <f t="shared" si="13"/>
        <v>345404</v>
      </c>
      <c r="B101" s="52"/>
      <c r="C101" s="1" t="str">
        <f>CONCATENATE(H101,"-",$J$7,", ",$J$19)</f>
        <v>2350-oliva kartáčovaná, Elegant II</v>
      </c>
      <c r="D101" s="53">
        <v>345404</v>
      </c>
      <c r="E101" s="52" t="str">
        <f>+VLOOKUP(A101,cennik!$A:$G,2,FALSE)</f>
        <v>SEVROLL maska Elegant II 2,35m oliva kartáčovaná</v>
      </c>
      <c r="F101" s="52" t="str">
        <f>+VLOOKUP(A101,cennik!A:B,2,FALSE)</f>
        <v>SEVROLL maska Elegant II 2,35m oliva kartáčovaná</v>
      </c>
      <c r="H101" s="1">
        <v>2350</v>
      </c>
      <c r="I101" s="1" t="str">
        <f>CONCATENATE(H101,"-",$J$7,", ",$J$19)</f>
        <v>2350-oliva kartáčovaná, Elegant II</v>
      </c>
    </row>
    <row r="102" spans="1:9" ht="15" customHeight="1">
      <c r="A102" s="52">
        <f t="shared" si="13"/>
        <v>345410</v>
      </c>
      <c r="B102" s="52"/>
      <c r="C102" s="1" t="str">
        <f>CONCATENATE(H102,"-",$J$7,", ",$J$19)</f>
        <v>3000-oliva kartáčovaná, Elegant II</v>
      </c>
      <c r="D102" s="53">
        <v>345410</v>
      </c>
      <c r="E102" s="52" t="str">
        <f>+VLOOKUP(A102,cennik!$A:$G,2,FALSE)</f>
        <v>SEVROLL maska Elegant II 3m oliva kartáčovaná</v>
      </c>
      <c r="F102" s="52" t="str">
        <f>+VLOOKUP(A102,cennik!A:B,2,FALSE)</f>
        <v>SEVROLL maska Elegant II 3m oliva kartáčovaná</v>
      </c>
      <c r="H102" s="1">
        <v>3000</v>
      </c>
      <c r="I102" s="1" t="str">
        <f>CONCATENATE(H102,"-",$J$7,", ",$J$19)</f>
        <v>3000-oliva kartáčovaná, Elegant II</v>
      </c>
    </row>
    <row r="103" spans="1:9" ht="15" customHeight="1">
      <c r="A103" s="52">
        <f t="shared" si="13"/>
        <v>346114</v>
      </c>
      <c r="B103" s="52"/>
      <c r="C103" s="1" t="str">
        <f>CONCATENATE(H103,"-",$J$7,", ",$J$19)</f>
        <v>4050-oliva kartáčovaná, Elegant II</v>
      </c>
      <c r="D103" s="53">
        <v>346114</v>
      </c>
      <c r="E103" s="52" t="str">
        <f>+VLOOKUP(A103,cennik!$A:$G,2,FALSE)</f>
        <v>SEVROLL maska Elegant II 4,05m oliva kartáčovaná</v>
      </c>
      <c r="F103" s="52" t="str">
        <f>+VLOOKUP(A103,cennik!A:B,2,FALSE)</f>
        <v>SEVROLL maska Elegant II 4,05m oliva kartáčovaná</v>
      </c>
      <c r="H103" s="1">
        <v>4050</v>
      </c>
      <c r="I103" s="1" t="str">
        <f>CONCATENATE(H103,"-",$J$7,", ",$J$19)</f>
        <v>4050-oliva kartáčovaná, Elegant II</v>
      </c>
    </row>
    <row r="104" spans="1:9" ht="15" customHeight="1">
      <c r="A104" s="52">
        <f t="shared" si="13"/>
        <v>346120</v>
      </c>
      <c r="B104" s="52"/>
      <c r="C104" s="1" t="str">
        <f>CONCATENATE(H104,"-",$J$7,", ",$J$19)</f>
        <v>6000-oliva kartáčovaná, Elegant II</v>
      </c>
      <c r="D104" s="53">
        <v>346120</v>
      </c>
      <c r="E104" s="52" t="str">
        <f>+VLOOKUP(A104,cennik!$A:$G,2,FALSE)</f>
        <v/>
      </c>
      <c r="F104" s="52" t="str">
        <f>+VLOOKUP(A104,cennik!A:B,2,FALSE)</f>
        <v/>
      </c>
      <c r="H104" s="1">
        <v>6000</v>
      </c>
      <c r="I104" s="1" t="str">
        <f>CONCATENATE(H104,"-",$J$7,", ",$J$19)</f>
        <v>6000-oliva kartáčovaná, Elegant II</v>
      </c>
    </row>
    <row r="105" spans="1:9" ht="15" customHeight="1">
      <c r="A105" s="52">
        <f t="shared" si="13"/>
        <v>345402</v>
      </c>
      <c r="B105" s="52"/>
      <c r="C105" s="1" t="str">
        <f>CONCATENATE(H105,"-",$J$8,", ",$J$19)</f>
        <v>1700-kart. tm. oliva, Elegant II</v>
      </c>
      <c r="D105" s="53">
        <v>345402</v>
      </c>
      <c r="E105" s="52" t="e">
        <f>+VLOOKUP(A105,cennik!$A:$G,2,FALSE)</f>
        <v>#REF!</v>
      </c>
      <c r="F105" s="52" t="e">
        <f>+VLOOKUP(A105,cennik!A:B,2,FALSE)</f>
        <v>#REF!</v>
      </c>
      <c r="H105" s="1">
        <v>1700</v>
      </c>
      <c r="I105" s="1" t="str">
        <f>CONCATENATE(H105,"-",$J$8,", ",$J$19)</f>
        <v>1700-kart. tm. oliva, Elegant II</v>
      </c>
    </row>
    <row r="106" spans="1:9" ht="15" customHeight="1">
      <c r="A106" s="52">
        <f t="shared" si="13"/>
        <v>345405</v>
      </c>
      <c r="B106" s="52"/>
      <c r="C106" s="1" t="str">
        <f>CONCATENATE(H106,"-",$J$8,", ",$J$19)</f>
        <v>2350-kart. tm. oliva, Elegant II</v>
      </c>
      <c r="D106" s="53">
        <v>345405</v>
      </c>
      <c r="E106" s="52" t="str">
        <f>+VLOOKUP(A106,cennik!$A:$G,2,FALSE)</f>
        <v/>
      </c>
      <c r="F106" s="52" t="str">
        <f>+VLOOKUP(A106,cennik!A:B,2,FALSE)</f>
        <v/>
      </c>
      <c r="H106" s="1">
        <v>2350</v>
      </c>
      <c r="I106" s="1" t="str">
        <f>CONCATENATE(H106,"-",$J$8,", ",$J$19)</f>
        <v>2350-kart. tm. oliva, Elegant II</v>
      </c>
    </row>
    <row r="107" spans="1:9" ht="15" customHeight="1">
      <c r="A107" s="52">
        <f t="shared" si="13"/>
        <v>345411</v>
      </c>
      <c r="B107" s="52"/>
      <c r="C107" s="1" t="str">
        <f>CONCATENATE(H107,"-",$J$8,", ",$J$19)</f>
        <v>3000-kart. tm. oliva, Elegant II</v>
      </c>
      <c r="D107" s="53">
        <v>345411</v>
      </c>
      <c r="E107" s="52" t="str">
        <f>+VLOOKUP(A107,cennik!$A:$G,2,FALSE)</f>
        <v/>
      </c>
      <c r="F107" s="52" t="str">
        <f>+VLOOKUP(A107,cennik!A:B,2,FALSE)</f>
        <v/>
      </c>
      <c r="H107" s="1">
        <v>3000</v>
      </c>
      <c r="I107" s="1" t="str">
        <f>CONCATENATE(H107,"-",$J$8,", ",$J$19)</f>
        <v>3000-kart. tm. oliva, Elegant II</v>
      </c>
    </row>
    <row r="108" spans="1:9" ht="15" customHeight="1">
      <c r="A108" s="52">
        <f t="shared" si="13"/>
        <v>346115</v>
      </c>
      <c r="B108" s="52"/>
      <c r="C108" s="1" t="str">
        <f>CONCATENATE(H108,"-",$J$8,", ",$J$19)</f>
        <v>4050-kart. tm. oliva, Elegant II</v>
      </c>
      <c r="D108" s="53">
        <v>346115</v>
      </c>
      <c r="E108" s="52" t="str">
        <f>+VLOOKUP(A108,cennik!$A:$G,2,FALSE)</f>
        <v/>
      </c>
      <c r="F108" s="52" t="str">
        <f>+VLOOKUP(A108,cennik!A:B,2,FALSE)</f>
        <v/>
      </c>
      <c r="H108" s="1">
        <v>4050</v>
      </c>
      <c r="I108" s="1" t="str">
        <f>CONCATENATE(H108,"-",$J$8,", ",$J$19)</f>
        <v>4050-kart. tm. oliva, Elegant II</v>
      </c>
    </row>
    <row r="109" spans="1:9" ht="15" customHeight="1">
      <c r="A109" s="52">
        <f t="shared" si="13"/>
        <v>346121</v>
      </c>
      <c r="B109" s="52"/>
      <c r="C109" s="1" t="str">
        <f>CONCATENATE(H109,"-",$J$8,", ",$J$19)</f>
        <v>6000-kart. tm. oliva, Elegant II</v>
      </c>
      <c r="D109" s="53">
        <v>346121</v>
      </c>
      <c r="E109" s="52" t="str">
        <f>+VLOOKUP(A109,cennik!$A:$G,2,FALSE)</f>
        <v/>
      </c>
      <c r="F109" s="52" t="str">
        <f>+VLOOKUP(A109,cennik!A:B,2,FALSE)</f>
        <v/>
      </c>
      <c r="H109" s="1">
        <v>6000</v>
      </c>
      <c r="I109" s="1" t="str">
        <f>CONCATENATE(H109,"-",$J$8,", ",$J$19)</f>
        <v>6000-kart. tm. oliva, Elegant II</v>
      </c>
    </row>
    <row r="110" spans="1:9" ht="15" customHeight="1">
      <c r="A110" s="52">
        <f t="shared" si="13"/>
        <v>345403</v>
      </c>
      <c r="B110" s="52"/>
      <c r="C110" s="1" t="str">
        <f>CONCATENATE(H110,"-",$J$9,", ",$J$19)</f>
        <v>1700-kart. čierna, Elegant II</v>
      </c>
      <c r="D110" s="53">
        <v>345403</v>
      </c>
      <c r="E110" s="52" t="str">
        <f>+VLOOKUP(A110,cennik!$A:$G,2,FALSE)</f>
        <v>SEVROLL uholník K2 1,7m čierna kartáč</v>
      </c>
      <c r="F110" s="52" t="str">
        <f>+VLOOKUP(A110,cennik!A:B,2,FALSE)</f>
        <v>SEVROLL uholník K2 1,7m čierna kartáč</v>
      </c>
      <c r="H110" s="1">
        <v>1700</v>
      </c>
      <c r="I110" s="1" t="str">
        <f>CONCATENATE(H110,"-",$J$9,", ",$J$19)</f>
        <v>1700-kart. čierna, Elegant II</v>
      </c>
    </row>
    <row r="111" spans="1:9" ht="15" customHeight="1">
      <c r="A111" s="52">
        <f t="shared" si="13"/>
        <v>345407</v>
      </c>
      <c r="B111" s="52"/>
      <c r="C111" s="1" t="str">
        <f>CONCATENATE(H111,"-",$J$9,", ",$J$19)</f>
        <v>2350-kart. čierna, Elegant II</v>
      </c>
      <c r="D111" s="53">
        <v>345407</v>
      </c>
      <c r="E111" s="52" t="str">
        <f>+VLOOKUP(A111,cennik!$A:$G,2,FALSE)</f>
        <v>SEVROLL maska Elegant II 2,35m čierna kartáčovaná</v>
      </c>
      <c r="F111" s="52" t="str">
        <f>+VLOOKUP(A111,cennik!A:B,2,FALSE)</f>
        <v>SEVROLL maska Elegant II 2,35m čierna kartáčovaná</v>
      </c>
      <c r="H111" s="1">
        <v>2350</v>
      </c>
      <c r="I111" s="1" t="str">
        <f>CONCATENATE(H111,"-",$J$9,", ",$J$19)</f>
        <v>2350-kart. čierna, Elegant II</v>
      </c>
    </row>
    <row r="112" spans="1:9" ht="15" customHeight="1">
      <c r="A112" s="52">
        <f t="shared" si="13"/>
        <v>345412</v>
      </c>
      <c r="B112" s="52"/>
      <c r="C112" s="1" t="str">
        <f>CONCATENATE(H112,"-",$J$9,", ",$J$19)</f>
        <v>3000-kart. čierna, Elegant II</v>
      </c>
      <c r="D112" s="53">
        <v>345412</v>
      </c>
      <c r="E112" s="52" t="str">
        <f>+VLOOKUP(A112,cennik!$A:$G,2,FALSE)</f>
        <v>SEVROLL maska Elegant II 3m čierna kartáčovaná</v>
      </c>
      <c r="F112" s="52" t="str">
        <f>+VLOOKUP(A112,cennik!A:B,2,FALSE)</f>
        <v>SEVROLL maska Elegant II 3m čierna kartáčovaná</v>
      </c>
      <c r="H112" s="1">
        <v>3000</v>
      </c>
      <c r="I112" s="1" t="str">
        <f>CONCATENATE(H112,"-",$J$9,", ",$J$19)</f>
        <v>3000-kart. čierna, Elegant II</v>
      </c>
    </row>
    <row r="113" spans="1:9" ht="15" customHeight="1">
      <c r="A113" s="52">
        <f t="shared" si="13"/>
        <v>346116</v>
      </c>
      <c r="B113" s="52"/>
      <c r="C113" s="1" t="str">
        <f>CONCATENATE(H113,"-",$J$9,", ",$J$19)</f>
        <v>4050-kart. čierna, Elegant II</v>
      </c>
      <c r="D113" s="53">
        <v>346116</v>
      </c>
      <c r="E113" s="52" t="str">
        <f>+VLOOKUP(A113,cennik!$A:$G,2,FALSE)</f>
        <v>SEVROLL maska Elegant II 4,05m čierna kartáčovaná</v>
      </c>
      <c r="F113" s="52" t="str">
        <f>+VLOOKUP(A113,cennik!A:B,2,FALSE)</f>
        <v>SEVROLL maska Elegant II 4,05m čierna kartáčovaná</v>
      </c>
      <c r="H113" s="1">
        <v>4050</v>
      </c>
      <c r="I113" s="1" t="str">
        <f>CONCATENATE(H113,"-",$J$9,", ",$J$19)</f>
        <v>4050-kart. čierna, Elegant II</v>
      </c>
    </row>
    <row r="114" spans="1:9" ht="15" customHeight="1">
      <c r="A114" s="52">
        <f t="shared" si="13"/>
        <v>346122</v>
      </c>
      <c r="B114" s="52"/>
      <c r="C114" s="1" t="str">
        <f>CONCATENATE(H114,"-",$J$9,", ",$J$19)</f>
        <v>6000-kart. čierna, Elegant II</v>
      </c>
      <c r="D114" s="53">
        <v>346122</v>
      </c>
      <c r="E114" s="52" t="str">
        <f>+VLOOKUP(A114,cennik!$A:$G,2,FALSE)</f>
        <v/>
      </c>
      <c r="F114" s="52" t="str">
        <f>+VLOOKUP(A114,cennik!A:B,2,FALSE)</f>
        <v/>
      </c>
      <c r="H114" s="1">
        <v>6000</v>
      </c>
      <c r="I114" s="1" t="str">
        <f>CONCATENATE(H114,"-",$J$9,", ",$J$19)</f>
        <v>6000-kart. čierna, Elegant II</v>
      </c>
    </row>
    <row r="115" spans="1:9" ht="15" customHeight="1">
      <c r="A115" s="52">
        <f t="shared" ref="A115:A124" si="14">+D115</f>
        <v>318656</v>
      </c>
      <c r="B115" s="52"/>
      <c r="C115" s="1" t="str">
        <f>CONCATENATE(H115,"-",$J$15,", ",$J$19)</f>
        <v>1700-biela lesk, Elegant II</v>
      </c>
      <c r="D115" s="53">
        <v>318656</v>
      </c>
      <c r="E115" s="52" t="str">
        <f>+VLOOKUP(A115,cennik!$A:$G,2,FALSE)</f>
        <v>SEVROLL maska ??Elegant II 1,7m biela lesk</v>
      </c>
      <c r="F115" s="52" t="str">
        <f>+VLOOKUP(A115,cennik!A:B,2,FALSE)</f>
        <v>SEVROLL maska ??Elegant II 1,7m biela lesk</v>
      </c>
      <c r="H115" s="1">
        <v>1700</v>
      </c>
      <c r="I115" s="1" t="str">
        <f>CONCATENATE(H115,"-",$J$15,", ",$J$19)</f>
        <v>1700-biela lesk, Elegant II</v>
      </c>
    </row>
    <row r="116" spans="1:9" ht="15" customHeight="1">
      <c r="A116" s="52">
        <f t="shared" si="14"/>
        <v>318659</v>
      </c>
      <c r="B116" s="52"/>
      <c r="C116" s="1" t="str">
        <f>CONCATENATE(H116,"-",$J$15,", ",$J$19)</f>
        <v>2350-biela lesk, Elegant II</v>
      </c>
      <c r="D116" s="53">
        <v>318659</v>
      </c>
      <c r="E116" s="52" t="str">
        <f>+VLOOKUP(A116,cennik!$A:$G,2,FALSE)</f>
        <v>SEVROLL maska ??Elegant II 2,35m biela lesk</v>
      </c>
      <c r="F116" s="52" t="str">
        <f>+VLOOKUP(A116,cennik!A:B,2,FALSE)</f>
        <v>SEVROLL maska ??Elegant II 2,35m biela lesk</v>
      </c>
      <c r="H116" s="1">
        <v>2350</v>
      </c>
      <c r="I116" s="1" t="str">
        <f>CONCATENATE(H116,"-",$J$15,", ",$J$19)</f>
        <v>2350-biela lesk, Elegant II</v>
      </c>
    </row>
    <row r="117" spans="1:9" ht="15" customHeight="1">
      <c r="A117" s="52">
        <f t="shared" si="14"/>
        <v>345413</v>
      </c>
      <c r="B117" s="52"/>
      <c r="C117" s="1" t="str">
        <f>CONCATENATE(H117,"-",$J$15,", ",$J$19)</f>
        <v>3000-biela lesk, Elegant II</v>
      </c>
      <c r="D117" s="53">
        <v>345413</v>
      </c>
      <c r="E117" s="52" t="str">
        <f>+VLOOKUP(A117,cennik!$A:$G,2,FALSE)</f>
        <v>SEVROLL maska Elegant II 3m biela lesk</v>
      </c>
      <c r="F117" s="52" t="str">
        <f>+VLOOKUP(A117,cennik!A:B,2,FALSE)</f>
        <v>SEVROLL maska Elegant II 3m biela lesk</v>
      </c>
      <c r="H117" s="1">
        <v>3000</v>
      </c>
      <c r="I117" s="1" t="str">
        <f>CONCATENATE(H117,"-",$J$15,", ",$J$19)</f>
        <v>3000-biela lesk, Elegant II</v>
      </c>
    </row>
    <row r="118" spans="1:9" ht="15" customHeight="1">
      <c r="A118" s="52">
        <f t="shared" si="14"/>
        <v>346117</v>
      </c>
      <c r="B118" s="52"/>
      <c r="C118" s="1" t="str">
        <f>CONCATENATE(H118,"-",$J$15,", ",$J$19)</f>
        <v>4050-biela lesk, Elegant II</v>
      </c>
      <c r="D118" s="53">
        <v>346117</v>
      </c>
      <c r="E118" s="52" t="str">
        <f>+VLOOKUP(A118,cennik!$A:$G,2,FALSE)</f>
        <v>SEVROLL maska Elegant II 4,05m biela lesk</v>
      </c>
      <c r="F118" s="52" t="str">
        <f>+VLOOKUP(A118,cennik!A:B,2,FALSE)</f>
        <v>SEVROLL maska Elegant II 4,05m biela lesk</v>
      </c>
      <c r="H118" s="1">
        <v>4050</v>
      </c>
      <c r="I118" s="1" t="str">
        <f>CONCATENATE(H118,"-",$J$15,", ",$J$19)</f>
        <v>4050-biela lesk, Elegant II</v>
      </c>
    </row>
    <row r="119" spans="1:9" ht="15" customHeight="1">
      <c r="A119" s="52">
        <f t="shared" si="14"/>
        <v>346123</v>
      </c>
      <c r="B119" s="52"/>
      <c r="C119" s="1" t="str">
        <f>CONCATENATE(H119,"-",$J$15,", ",$J$19)</f>
        <v>6000-biela lesk, Elegant II</v>
      </c>
      <c r="D119" s="53">
        <v>346123</v>
      </c>
      <c r="E119" s="52" t="str">
        <f>+VLOOKUP(A119,cennik!$A:$G,2,FALSE)</f>
        <v/>
      </c>
      <c r="F119" s="52" t="str">
        <f>+VLOOKUP(A119,cennik!A:B,2,FALSE)</f>
        <v/>
      </c>
      <c r="H119" s="1">
        <v>6000</v>
      </c>
      <c r="I119" s="1" t="str">
        <f>CONCATENATE(H119,"-",$J$15,", ",$J$19)</f>
        <v>6000-biela lesk, Elegant II</v>
      </c>
    </row>
    <row r="120" spans="1:9" ht="15" customHeight="1">
      <c r="A120" s="52">
        <f t="shared" si="14"/>
        <v>318638</v>
      </c>
      <c r="B120" s="52"/>
      <c r="C120" s="1" t="str">
        <f>CONCATENATE(H120,"-",$J$5,", ",$J$19)</f>
        <v>1700-zlatá, Elegant II</v>
      </c>
      <c r="D120" s="53">
        <v>318638</v>
      </c>
      <c r="E120" s="52" t="str">
        <f>+VLOOKUP(A120,cennik!$A:$G,2,FALSE)</f>
        <v>SEVROLL maska Elegant II 1,7m zlatá</v>
      </c>
      <c r="F120" s="52" t="str">
        <f>+VLOOKUP(A120,cennik!A:B,2,FALSE)</f>
        <v>SEVROLL maska Elegant II 1,7m zlatá</v>
      </c>
      <c r="H120" s="1" t="s">
        <v>541</v>
      </c>
      <c r="I120" s="1" t="str">
        <f>CONCATENATE(H120,"-",$J$5,", ",$J$19)</f>
        <v>1700-zlatá, Elegant II</v>
      </c>
    </row>
    <row r="121" spans="1:9" ht="15" customHeight="1">
      <c r="A121" s="52">
        <f t="shared" si="14"/>
        <v>318643</v>
      </c>
      <c r="B121" s="52"/>
      <c r="C121" s="1" t="str">
        <f>CONCATENATE(H121,"-",$J$5,", ",$J$19)</f>
        <v>2350-zlatá, Elegant II</v>
      </c>
      <c r="D121" s="53">
        <v>318643</v>
      </c>
      <c r="E121" s="52" t="str">
        <f>+VLOOKUP(A121,cennik!$A:$G,2,FALSE)</f>
        <v>SEVROLL maska Elegant II 2,35m zlatá</v>
      </c>
      <c r="F121" s="52" t="str">
        <f>+VLOOKUP(A121,cennik!A:B,2,FALSE)</f>
        <v>SEVROLL maska Elegant II 2,35m zlatá</v>
      </c>
      <c r="H121" s="1" t="s">
        <v>542</v>
      </c>
      <c r="I121" s="1" t="str">
        <f>CONCATENATE(H121,"-",$J$5,", ",$J$19)</f>
        <v>2350-zlatá, Elegant II</v>
      </c>
    </row>
    <row r="122" spans="1:9" ht="15" customHeight="1">
      <c r="A122" s="52">
        <f t="shared" si="14"/>
        <v>318644</v>
      </c>
      <c r="B122" s="52"/>
      <c r="C122" s="1" t="str">
        <f>CONCATENATE(H122,"-",$J$5,", ",$J$19)</f>
        <v>3000-zlatá, Elegant II</v>
      </c>
      <c r="D122" s="53">
        <v>318644</v>
      </c>
      <c r="E122" s="52" t="str">
        <f>+VLOOKUP(A122,cennik!$A:$G,2,FALSE)</f>
        <v>SEVROLL maska Elegant II 3m zlatá</v>
      </c>
      <c r="F122" s="52" t="str">
        <f>+VLOOKUP(A122,cennik!A:B,2,FALSE)</f>
        <v>SEVROLL maska Elegant II 3m zlatá</v>
      </c>
      <c r="H122" s="1" t="s">
        <v>543</v>
      </c>
      <c r="I122" s="1" t="str">
        <f>CONCATENATE(H122,"-",$J$5,", ",$J$19)</f>
        <v>3000-zlatá, Elegant II</v>
      </c>
    </row>
    <row r="123" spans="1:9" ht="15" customHeight="1">
      <c r="A123" s="52">
        <f t="shared" si="14"/>
        <v>318645</v>
      </c>
      <c r="B123" s="52"/>
      <c r="C123" s="1" t="str">
        <f>CONCATENATE(H123,"-",$J$5,", ",$J$19)</f>
        <v>4050-zlatá, Elegant II</v>
      </c>
      <c r="D123" s="53">
        <v>318645</v>
      </c>
      <c r="E123" s="52" t="str">
        <f>+VLOOKUP(A123,cennik!$A:$G,2,FALSE)</f>
        <v>SEVROLL maska Elegant II 4,05m zlatá</v>
      </c>
      <c r="F123" s="52" t="str">
        <f>+VLOOKUP(A123,cennik!A:B,2,FALSE)</f>
        <v>SEVROLL maska Elegant II 4,05m zlatá</v>
      </c>
      <c r="H123" s="1" t="s">
        <v>544</v>
      </c>
      <c r="I123" s="1" t="str">
        <f>CONCATENATE(H123,"-",$J$5,", ",$J$19)</f>
        <v>4050-zlatá, Elegant II</v>
      </c>
    </row>
    <row r="124" spans="1:9" ht="15" customHeight="1">
      <c r="A124" s="52">
        <f t="shared" si="14"/>
        <v>318646</v>
      </c>
      <c r="B124" s="52"/>
      <c r="C124" s="1" t="str">
        <f>CONCATENATE(H124,"-",$J$5,", ",$J$19)</f>
        <v>6000-zlatá, Elegant II</v>
      </c>
      <c r="D124" s="53">
        <v>318646</v>
      </c>
      <c r="E124" s="52" t="str">
        <f>+VLOOKUP(A124,cennik!$A:$G,2,FALSE)</f>
        <v/>
      </c>
      <c r="F124" s="52" t="str">
        <f>+VLOOKUP(A124,cennik!A:B,2,FALSE)</f>
        <v/>
      </c>
      <c r="H124" s="1">
        <v>6000</v>
      </c>
      <c r="I124" s="1" t="str">
        <f>CONCATENATE(H124,"-",$J$5,", ",$J$19)</f>
        <v>6000-zlatá, Elegant II</v>
      </c>
    </row>
    <row r="125" spans="1:9" ht="15" customHeight="1">
      <c r="A125" s="52" t="str">
        <f t="shared" ref="A125:A179" si="15">+D125</f>
        <v>N/A</v>
      </c>
      <c r="B125" s="52"/>
      <c r="C125" s="1" t="str">
        <f>CONCATENATE(H125,"-",$J$4,", ",$J$21)</f>
        <v>1700-strieborná , Gemini</v>
      </c>
      <c r="D125" s="53" t="s">
        <v>156</v>
      </c>
      <c r="E125" s="52" t="e">
        <f>+VLOOKUP(A125,cennik!$A:$G,2,FALSE)</f>
        <v>#N/A</v>
      </c>
      <c r="F125" s="52" t="e">
        <f>+VLOOKUP(A125,cennik!A:B,2,FALSE)</f>
        <v>#N/A</v>
      </c>
      <c r="G125" s="1" t="e">
        <f>+VLOOKUP(A125,#REF!,4,FALSE)</f>
        <v>#REF!</v>
      </c>
      <c r="H125" s="1" t="s">
        <v>541</v>
      </c>
      <c r="I125" s="1" t="str">
        <f>CONCATENATE(H125,"-",$J$4,", ",$J$21)</f>
        <v>1700-strieborná , Gemini</v>
      </c>
    </row>
    <row r="126" spans="1:9" ht="15" customHeight="1">
      <c r="A126" s="52" t="str">
        <f t="shared" si="15"/>
        <v>N/A</v>
      </c>
      <c r="B126" s="52"/>
      <c r="C126" s="1" t="str">
        <f>CONCATENATE(H126,"-",$J$4,", ",$J$21)</f>
        <v>2350-strieborná , Gemini</v>
      </c>
      <c r="D126" s="53" t="s">
        <v>156</v>
      </c>
      <c r="E126" s="52" t="e">
        <f>+VLOOKUP(A126,cennik!$A:$G,2,FALSE)</f>
        <v>#N/A</v>
      </c>
      <c r="F126" s="52" t="e">
        <f>+VLOOKUP(A126,cennik!A:B,2,FALSE)</f>
        <v>#N/A</v>
      </c>
      <c r="H126" s="1" t="s">
        <v>542</v>
      </c>
      <c r="I126" s="1" t="str">
        <f>CONCATENATE(H126,"-",$J$4,", ",$J$21)</f>
        <v>2350-strieborná , Gemini</v>
      </c>
    </row>
    <row r="127" spans="1:9" ht="15" customHeight="1">
      <c r="A127" s="52" t="str">
        <f t="shared" si="15"/>
        <v>N/A</v>
      </c>
      <c r="B127" s="52"/>
      <c r="C127" s="1" t="str">
        <f>CONCATENATE(H127,"-",$J$4,", ",$J$21)</f>
        <v>3000-strieborná , Gemini</v>
      </c>
      <c r="D127" s="53" t="s">
        <v>156</v>
      </c>
      <c r="E127" s="52" t="e">
        <f>+VLOOKUP(A127,cennik!$A:$G,2,FALSE)</f>
        <v>#N/A</v>
      </c>
      <c r="F127" s="52" t="e">
        <f>+VLOOKUP(A127,cennik!A:B,2,FALSE)</f>
        <v>#N/A</v>
      </c>
      <c r="H127" s="1" t="s">
        <v>543</v>
      </c>
      <c r="I127" s="1" t="str">
        <f>CONCATENATE(H127,"-",$J$4,", ",$J$21)</f>
        <v>3000-strieborná , Gemini</v>
      </c>
    </row>
    <row r="128" spans="1:9" ht="15" customHeight="1">
      <c r="A128" s="52" t="str">
        <f t="shared" si="15"/>
        <v>N/A</v>
      </c>
      <c r="B128" s="52"/>
      <c r="C128" s="1" t="str">
        <f>CONCATENATE(H128,"-",$J$4,", ",$J$21)</f>
        <v>4050-strieborná , Gemini</v>
      </c>
      <c r="D128" s="53" t="s">
        <v>156</v>
      </c>
      <c r="E128" s="52" t="e">
        <f>+VLOOKUP(A128,cennik!$A:$G,2,FALSE)</f>
        <v>#N/A</v>
      </c>
      <c r="F128" s="52" t="e">
        <f>+VLOOKUP(A128,cennik!A:B,2,FALSE)</f>
        <v>#N/A</v>
      </c>
      <c r="H128" s="1" t="s">
        <v>544</v>
      </c>
      <c r="I128" s="1" t="str">
        <f>CONCATENATE(H128,"-",$J$4,", ",$J$21)</f>
        <v>4050-strieborná , Gemini</v>
      </c>
    </row>
    <row r="129" spans="1:9" ht="15" customHeight="1">
      <c r="A129" s="52" t="str">
        <f t="shared" si="15"/>
        <v>N/A</v>
      </c>
      <c r="B129" s="52"/>
      <c r="C129" s="1" t="str">
        <f>CONCATENATE(H129,"-",$J$4,", ",$J$21)</f>
        <v>6000-strieborná , Gemini</v>
      </c>
      <c r="D129" s="53" t="s">
        <v>156</v>
      </c>
      <c r="E129" s="52" t="e">
        <f>+VLOOKUP(A129,cennik!$A:$G,2,FALSE)</f>
        <v>#N/A</v>
      </c>
      <c r="F129" s="52" t="e">
        <f>+VLOOKUP(A129,cennik!A:B,2,FALSE)</f>
        <v>#N/A</v>
      </c>
      <c r="H129" s="1">
        <v>6000</v>
      </c>
      <c r="I129" s="1" t="str">
        <f>CONCATENATE(H129,"-",$J$4,", ",$J$21)</f>
        <v>6000-strieborná , Gemini</v>
      </c>
    </row>
    <row r="130" spans="1:9" ht="15" customHeight="1">
      <c r="A130" s="52" t="str">
        <f t="shared" si="15"/>
        <v>N/A</v>
      </c>
      <c r="B130" s="52"/>
      <c r="C130" s="1" t="str">
        <f>CONCATENATE(H130,"-",$J$5,", ",$J$21)</f>
        <v>1700-zlatá, Gemini</v>
      </c>
      <c r="D130" s="53" t="s">
        <v>156</v>
      </c>
      <c r="E130" s="52" t="e">
        <f>+VLOOKUP(A130,cennik!$A:$G,2,FALSE)</f>
        <v>#N/A</v>
      </c>
      <c r="F130" s="52" t="e">
        <f>+VLOOKUP(A130,cennik!A:B,2,FALSE)</f>
        <v>#N/A</v>
      </c>
      <c r="G130" s="1" t="e">
        <f>+VLOOKUP(A130,#REF!,4,FALSE)</f>
        <v>#REF!</v>
      </c>
      <c r="H130" s="1" t="s">
        <v>541</v>
      </c>
      <c r="I130" s="1" t="str">
        <f>CONCATENATE(H130,"-",$J$5,", ",$J$21)</f>
        <v>1700-zlatá, Gemini</v>
      </c>
    </row>
    <row r="131" spans="1:9" ht="15" customHeight="1">
      <c r="A131" s="52" t="str">
        <f t="shared" si="15"/>
        <v>N/A</v>
      </c>
      <c r="B131" s="52"/>
      <c r="C131" s="1" t="str">
        <f>CONCATENATE(H131,"-",$J$5,", ",$J$21)</f>
        <v>2350-zlatá, Gemini</v>
      </c>
      <c r="D131" s="53" t="s">
        <v>156</v>
      </c>
      <c r="E131" s="52" t="e">
        <f>+VLOOKUP(A131,cennik!$A:$G,2,FALSE)</f>
        <v>#N/A</v>
      </c>
      <c r="F131" s="52" t="e">
        <f>+VLOOKUP(A131,cennik!A:B,2,FALSE)</f>
        <v>#N/A</v>
      </c>
      <c r="H131" s="1" t="s">
        <v>542</v>
      </c>
      <c r="I131" s="1" t="str">
        <f>CONCATENATE(H131,"-",$J$5,", ",$J$21)</f>
        <v>2350-zlatá, Gemini</v>
      </c>
    </row>
    <row r="132" spans="1:9" ht="15" customHeight="1">
      <c r="A132" s="52" t="str">
        <f t="shared" si="15"/>
        <v>N/A</v>
      </c>
      <c r="B132" s="52"/>
      <c r="C132" s="1" t="str">
        <f>CONCATENATE(H132,"-",$J$5,", ",$J$21)</f>
        <v>3000-zlatá, Gemini</v>
      </c>
      <c r="D132" s="53" t="s">
        <v>156</v>
      </c>
      <c r="E132" s="52" t="e">
        <f>+VLOOKUP(A132,cennik!$A:$G,2,FALSE)</f>
        <v>#N/A</v>
      </c>
      <c r="F132" s="52" t="e">
        <f>+VLOOKUP(A132,cennik!A:B,2,FALSE)</f>
        <v>#N/A</v>
      </c>
      <c r="H132" s="1" t="s">
        <v>543</v>
      </c>
      <c r="I132" s="1" t="str">
        <f>CONCATENATE(H132,"-",$J$5,", ",$J$21)</f>
        <v>3000-zlatá, Gemini</v>
      </c>
    </row>
    <row r="133" spans="1:9" ht="15" customHeight="1">
      <c r="A133" s="52" t="str">
        <f t="shared" si="15"/>
        <v>N/A</v>
      </c>
      <c r="B133" s="52"/>
      <c r="C133" s="1" t="str">
        <f>CONCATENATE(H133,"-",$J$5,", ",$J$21)</f>
        <v>4050-zlatá, Gemini</v>
      </c>
      <c r="D133" s="53" t="s">
        <v>156</v>
      </c>
      <c r="E133" s="52" t="e">
        <f>+VLOOKUP(A133,cennik!$A:$G,2,FALSE)</f>
        <v>#N/A</v>
      </c>
      <c r="F133" s="52" t="e">
        <f>+VLOOKUP(A133,cennik!A:B,2,FALSE)</f>
        <v>#N/A</v>
      </c>
      <c r="H133" s="1" t="s">
        <v>544</v>
      </c>
      <c r="I133" s="1" t="str">
        <f>CONCATENATE(H133,"-",$J$5,", ",$J$21)</f>
        <v>4050-zlatá, Gemini</v>
      </c>
    </row>
    <row r="134" spans="1:9" ht="15" customHeight="1">
      <c r="A134" s="52" t="str">
        <f t="shared" si="15"/>
        <v>N/A</v>
      </c>
      <c r="B134" s="52"/>
      <c r="C134" s="1" t="str">
        <f>CONCATENATE(H134,"-",$J$5,", ",$J$21)</f>
        <v>6000-zlatá, Gemini</v>
      </c>
      <c r="D134" s="53" t="s">
        <v>156</v>
      </c>
      <c r="E134" s="52" t="e">
        <f>+VLOOKUP(A134,cennik!$A:$G,2,FALSE)</f>
        <v>#N/A</v>
      </c>
      <c r="F134" s="52" t="e">
        <f>+VLOOKUP(A134,cennik!A:B,2,FALSE)</f>
        <v>#N/A</v>
      </c>
      <c r="H134" s="1">
        <v>6000</v>
      </c>
      <c r="I134" s="1" t="str">
        <f>CONCATENATE(H134,"-",$J$5,", ",$J$21)</f>
        <v>6000-zlatá, Gemini</v>
      </c>
    </row>
    <row r="135" spans="1:9" ht="15" customHeight="1">
      <c r="A135" s="52" t="str">
        <f t="shared" si="15"/>
        <v>N/A</v>
      </c>
      <c r="B135" s="52"/>
      <c r="C135" s="1" t="str">
        <f>CONCATENATE(H135,"-",$J$6,", ",$J$21)</f>
        <v>1700-oliva, Gemini</v>
      </c>
      <c r="D135" s="53" t="s">
        <v>156</v>
      </c>
      <c r="E135" s="52" t="e">
        <f>+VLOOKUP(A135,cennik!$A:$G,2,FALSE)</f>
        <v>#N/A</v>
      </c>
      <c r="F135" s="52" t="e">
        <f>+VLOOKUP(A135,cennik!A:B,2,FALSE)</f>
        <v>#N/A</v>
      </c>
      <c r="G135" s="1" t="e">
        <f>+VLOOKUP(A135,#REF!,4,FALSE)</f>
        <v>#REF!</v>
      </c>
      <c r="H135" s="1" t="s">
        <v>541</v>
      </c>
      <c r="I135" s="1" t="str">
        <f>CONCATENATE(H135,"-",$J$6,", ",$J$21)</f>
        <v>1700-oliva, Gemini</v>
      </c>
    </row>
    <row r="136" spans="1:9" ht="15" customHeight="1">
      <c r="A136" s="52" t="str">
        <f t="shared" si="15"/>
        <v>N/A</v>
      </c>
      <c r="B136" s="52"/>
      <c r="C136" s="1" t="str">
        <f>CONCATENATE(H136,"-",$J$6,", ",$J$21)</f>
        <v>2350-oliva, Gemini</v>
      </c>
      <c r="D136" s="53" t="s">
        <v>156</v>
      </c>
      <c r="E136" s="52" t="e">
        <f>+VLOOKUP(A136,cennik!$A:$G,2,FALSE)</f>
        <v>#N/A</v>
      </c>
      <c r="F136" s="52" t="e">
        <f>+VLOOKUP(A136,cennik!A:B,2,FALSE)</f>
        <v>#N/A</v>
      </c>
      <c r="H136" s="1" t="s">
        <v>542</v>
      </c>
      <c r="I136" s="1" t="str">
        <f>CONCATENATE(H136,"-",$J$6,", ",$J$21)</f>
        <v>2350-oliva, Gemini</v>
      </c>
    </row>
    <row r="137" spans="1:9" ht="15" customHeight="1">
      <c r="A137" s="52" t="str">
        <f t="shared" si="15"/>
        <v>N/A</v>
      </c>
      <c r="B137" s="52"/>
      <c r="C137" s="1" t="str">
        <f>CONCATENATE(H137,"-",$J$6,", ",$J$21)</f>
        <v>3000-oliva, Gemini</v>
      </c>
      <c r="D137" s="53" t="s">
        <v>156</v>
      </c>
      <c r="E137" s="52" t="e">
        <f>+VLOOKUP(A137,cennik!$A:$G,2,FALSE)</f>
        <v>#N/A</v>
      </c>
      <c r="F137" s="52" t="e">
        <f>+VLOOKUP(A137,cennik!A:B,2,FALSE)</f>
        <v>#N/A</v>
      </c>
      <c r="H137" s="1" t="s">
        <v>543</v>
      </c>
      <c r="I137" s="1" t="str">
        <f>CONCATENATE(H137,"-",$J$6,", ",$J$21)</f>
        <v>3000-oliva, Gemini</v>
      </c>
    </row>
    <row r="138" spans="1:9" ht="15" customHeight="1">
      <c r="A138" s="52" t="str">
        <f t="shared" si="15"/>
        <v>N/A</v>
      </c>
      <c r="B138" s="52"/>
      <c r="C138" s="1" t="str">
        <f>CONCATENATE(H138,"-",$J$6,", ",$J$21)</f>
        <v>4050-oliva, Gemini</v>
      </c>
      <c r="D138" s="53" t="s">
        <v>156</v>
      </c>
      <c r="E138" s="52" t="e">
        <f>+VLOOKUP(A138,cennik!$A:$G,2,FALSE)</f>
        <v>#N/A</v>
      </c>
      <c r="F138" s="52" t="e">
        <f>+VLOOKUP(A138,cennik!A:B,2,FALSE)</f>
        <v>#N/A</v>
      </c>
      <c r="H138" s="1" t="s">
        <v>544</v>
      </c>
      <c r="I138" s="1" t="str">
        <f>CONCATENATE(H138,"-",$J$6,", ",$J$21)</f>
        <v>4050-oliva, Gemini</v>
      </c>
    </row>
    <row r="139" spans="1:9" ht="15" customHeight="1">
      <c r="A139" s="52" t="str">
        <f t="shared" si="15"/>
        <v>N/A</v>
      </c>
      <c r="B139" s="52"/>
      <c r="C139" s="1" t="str">
        <f>CONCATENATE(H139,"-",$J$6,", ",$J$21)</f>
        <v>6000-oliva, Gemini</v>
      </c>
      <c r="D139" s="53" t="s">
        <v>156</v>
      </c>
      <c r="E139" s="52" t="e">
        <f>+VLOOKUP(A139,cennik!$A:$G,2,FALSE)</f>
        <v>#N/A</v>
      </c>
      <c r="F139" s="52" t="e">
        <f>+VLOOKUP(A139,cennik!A:B,2,FALSE)</f>
        <v>#N/A</v>
      </c>
      <c r="H139" s="1">
        <v>6000</v>
      </c>
      <c r="I139" s="1" t="str">
        <f>CONCATENATE(H139,"-",$J$6,", ",$J$21)</f>
        <v>6000-oliva, Gemini</v>
      </c>
    </row>
    <row r="140" spans="1:9" ht="15" customHeight="1">
      <c r="A140" s="52" t="str">
        <f t="shared" si="15"/>
        <v>N/A</v>
      </c>
      <c r="B140" s="52"/>
      <c r="C140" s="1" t="str">
        <f>CONCATENATE(H140,"-",$J$7,", ",$J$21)</f>
        <v>1700-oliva kartáčovaná, Gemini</v>
      </c>
      <c r="D140" s="53" t="s">
        <v>156</v>
      </c>
      <c r="E140" s="52" t="e">
        <f>+VLOOKUP(A140,cennik!$A:$G,2,FALSE)</f>
        <v>#N/A</v>
      </c>
      <c r="F140" s="52" t="e">
        <f>+VLOOKUP(A140,cennik!A:B,2,FALSE)</f>
        <v>#N/A</v>
      </c>
      <c r="G140" s="1" t="e">
        <f>+VLOOKUP(A140,#REF!,4,FALSE)</f>
        <v>#REF!</v>
      </c>
      <c r="H140" s="1" t="s">
        <v>541</v>
      </c>
      <c r="I140" s="1" t="str">
        <f>CONCATENATE(H140,"-",$J$7,", ",$J$21)</f>
        <v>1700-oliva kartáčovaná, Gemini</v>
      </c>
    </row>
    <row r="141" spans="1:9" ht="15" customHeight="1">
      <c r="A141" s="52" t="str">
        <f t="shared" si="15"/>
        <v>N/A</v>
      </c>
      <c r="B141" s="52"/>
      <c r="C141" s="1" t="str">
        <f>CONCATENATE(H141,"-",$J$7,", ",$J$21)</f>
        <v>2350-oliva kartáčovaná, Gemini</v>
      </c>
      <c r="D141" s="53" t="s">
        <v>156</v>
      </c>
      <c r="E141" s="52" t="e">
        <f>+VLOOKUP(A141,cennik!$A:$G,2,FALSE)</f>
        <v>#N/A</v>
      </c>
      <c r="F141" s="52" t="e">
        <f>+VLOOKUP(A141,cennik!A:B,2,FALSE)</f>
        <v>#N/A</v>
      </c>
      <c r="H141" s="1" t="s">
        <v>542</v>
      </c>
      <c r="I141" s="1" t="str">
        <f>CONCATENATE(H141,"-",$J$7,", ",$J$21)</f>
        <v>2350-oliva kartáčovaná, Gemini</v>
      </c>
    </row>
    <row r="142" spans="1:9" ht="15" customHeight="1">
      <c r="A142" s="52" t="str">
        <f t="shared" si="15"/>
        <v>N/A</v>
      </c>
      <c r="B142" s="52"/>
      <c r="C142" s="1" t="str">
        <f>CONCATENATE(H142,"-",$J$7,", ",$J$21)</f>
        <v>3000-oliva kartáčovaná, Gemini</v>
      </c>
      <c r="D142" s="53" t="s">
        <v>156</v>
      </c>
      <c r="E142" s="52" t="e">
        <f>+VLOOKUP(A142,cennik!$A:$G,2,FALSE)</f>
        <v>#N/A</v>
      </c>
      <c r="F142" s="52" t="e">
        <f>+VLOOKUP(A142,cennik!A:B,2,FALSE)</f>
        <v>#N/A</v>
      </c>
      <c r="H142" s="1" t="s">
        <v>543</v>
      </c>
      <c r="I142" s="1" t="str">
        <f>CONCATENATE(H142,"-",$J$7,", ",$J$21)</f>
        <v>3000-oliva kartáčovaná, Gemini</v>
      </c>
    </row>
    <row r="143" spans="1:9" ht="15" customHeight="1">
      <c r="A143" s="52" t="str">
        <f t="shared" si="15"/>
        <v>N/A</v>
      </c>
      <c r="B143" s="52"/>
      <c r="C143" s="1" t="str">
        <f>CONCATENATE(H143,"-",$J$7,", ",$J$21)</f>
        <v>4050-oliva kartáčovaná, Gemini</v>
      </c>
      <c r="D143" s="53" t="s">
        <v>156</v>
      </c>
      <c r="E143" s="52" t="e">
        <f>+VLOOKUP(A143,cennik!$A:$G,2,FALSE)</f>
        <v>#N/A</v>
      </c>
      <c r="F143" s="52" t="e">
        <f>+VLOOKUP(A143,cennik!A:B,2,FALSE)</f>
        <v>#N/A</v>
      </c>
      <c r="H143" s="1" t="s">
        <v>544</v>
      </c>
      <c r="I143" s="1" t="str">
        <f>CONCATENATE(H143,"-",$J$7,", ",$J$21)</f>
        <v>4050-oliva kartáčovaná, Gemini</v>
      </c>
    </row>
    <row r="144" spans="1:9" ht="15" customHeight="1">
      <c r="A144" s="52" t="str">
        <f t="shared" si="15"/>
        <v>N/A</v>
      </c>
      <c r="B144" s="52"/>
      <c r="C144" s="1" t="str">
        <f>CONCATENATE(H144,"-",$J$7,", ",$J$21)</f>
        <v>6000-oliva kartáčovaná, Gemini</v>
      </c>
      <c r="D144" s="53" t="s">
        <v>156</v>
      </c>
      <c r="E144" s="52" t="e">
        <f>+VLOOKUP(A144,cennik!$A:$G,2,FALSE)</f>
        <v>#N/A</v>
      </c>
      <c r="F144" s="52" t="e">
        <f>+VLOOKUP(A144,cennik!A:B,2,FALSE)</f>
        <v>#N/A</v>
      </c>
      <c r="H144" s="1">
        <v>6000</v>
      </c>
      <c r="I144" s="1" t="str">
        <f>CONCATENATE(H144,"-",$J$7,", ",$J$21)</f>
        <v>6000-oliva kartáčovaná, Gemini</v>
      </c>
    </row>
    <row r="145" spans="1:9" ht="15" customHeight="1">
      <c r="A145" s="52" t="str">
        <f t="shared" si="15"/>
        <v>N/A</v>
      </c>
      <c r="B145" s="52"/>
      <c r="C145" s="1" t="str">
        <f>CONCATENATE(H145,"-",$J$8,", ",$J$21)</f>
        <v>1700-kart. tm. oliva, Gemini</v>
      </c>
      <c r="D145" s="53" t="s">
        <v>156</v>
      </c>
      <c r="E145" s="52" t="e">
        <f>+VLOOKUP(A145,cennik!$A:$G,2,FALSE)</f>
        <v>#N/A</v>
      </c>
      <c r="F145" s="52" t="e">
        <f>+VLOOKUP(A145,cennik!A:B,2,FALSE)</f>
        <v>#N/A</v>
      </c>
      <c r="G145" s="1" t="e">
        <f>+VLOOKUP(A145,#REF!,4,FALSE)</f>
        <v>#REF!</v>
      </c>
      <c r="H145" s="1" t="s">
        <v>541</v>
      </c>
      <c r="I145" s="1" t="str">
        <f>CONCATENATE(H145,"-",$J$8,", ",$J$21)</f>
        <v>1700-kart. tm. oliva, Gemini</v>
      </c>
    </row>
    <row r="146" spans="1:9" ht="15" customHeight="1">
      <c r="A146" s="52" t="str">
        <f t="shared" si="15"/>
        <v>N/A</v>
      </c>
      <c r="B146" s="52"/>
      <c r="C146" s="1" t="str">
        <f>CONCATENATE(H146,"-",$J$8,", ",$J$21)</f>
        <v>2350-kart. tm. oliva, Gemini</v>
      </c>
      <c r="D146" s="53" t="s">
        <v>156</v>
      </c>
      <c r="E146" s="52" t="e">
        <f>+VLOOKUP(A146,cennik!$A:$G,2,FALSE)</f>
        <v>#N/A</v>
      </c>
      <c r="F146" s="52" t="e">
        <f>+VLOOKUP(A146,cennik!A:B,2,FALSE)</f>
        <v>#N/A</v>
      </c>
      <c r="H146" s="1" t="s">
        <v>542</v>
      </c>
      <c r="I146" s="1" t="str">
        <f>CONCATENATE(H146,"-",$J$8,", ",$J$21)</f>
        <v>2350-kart. tm. oliva, Gemini</v>
      </c>
    </row>
    <row r="147" spans="1:9" ht="15" customHeight="1">
      <c r="A147" s="52" t="str">
        <f t="shared" si="15"/>
        <v>N/A</v>
      </c>
      <c r="B147" s="52"/>
      <c r="C147" s="1" t="str">
        <f>CONCATENATE(H147,"-",$J$8,", ",$J$21)</f>
        <v>3000-kart. tm. oliva, Gemini</v>
      </c>
      <c r="D147" s="53" t="s">
        <v>156</v>
      </c>
      <c r="E147" s="52" t="e">
        <f>+VLOOKUP(A147,cennik!$A:$G,2,FALSE)</f>
        <v>#N/A</v>
      </c>
      <c r="F147" s="52" t="e">
        <f>+VLOOKUP(A147,cennik!A:B,2,FALSE)</f>
        <v>#N/A</v>
      </c>
      <c r="H147" s="1" t="s">
        <v>543</v>
      </c>
      <c r="I147" s="1" t="str">
        <f>CONCATENATE(H147,"-",$J$8,", ",$J$21)</f>
        <v>3000-kart. tm. oliva, Gemini</v>
      </c>
    </row>
    <row r="148" spans="1:9" ht="15" customHeight="1">
      <c r="A148" s="52" t="str">
        <f t="shared" si="15"/>
        <v>N/A</v>
      </c>
      <c r="B148" s="52"/>
      <c r="C148" s="1" t="str">
        <f>CONCATENATE(H148,"-",$J$8,", ",$J$21)</f>
        <v>4050-kart. tm. oliva, Gemini</v>
      </c>
      <c r="D148" s="53" t="s">
        <v>156</v>
      </c>
      <c r="E148" s="52" t="e">
        <f>+VLOOKUP(A148,cennik!$A:$G,2,FALSE)</f>
        <v>#N/A</v>
      </c>
      <c r="F148" s="52" t="e">
        <f>+VLOOKUP(A148,cennik!A:B,2,FALSE)</f>
        <v>#N/A</v>
      </c>
      <c r="H148" s="1" t="s">
        <v>544</v>
      </c>
      <c r="I148" s="1" t="str">
        <f>CONCATENATE(H148,"-",$J$8,", ",$J$21)</f>
        <v>4050-kart. tm. oliva, Gemini</v>
      </c>
    </row>
    <row r="149" spans="1:9" ht="15" customHeight="1">
      <c r="A149" s="52" t="str">
        <f t="shared" si="15"/>
        <v>N/A</v>
      </c>
      <c r="B149" s="52"/>
      <c r="C149" s="1" t="str">
        <f>CONCATENATE(H149,"-",$J$8,", ",$J$21)</f>
        <v>6000-kart. tm. oliva, Gemini</v>
      </c>
      <c r="D149" s="53" t="s">
        <v>156</v>
      </c>
      <c r="E149" s="52" t="e">
        <f>+VLOOKUP(A149,cennik!$A:$G,2,FALSE)</f>
        <v>#N/A</v>
      </c>
      <c r="F149" s="52" t="e">
        <f>+VLOOKUP(A149,cennik!A:B,2,FALSE)</f>
        <v>#N/A</v>
      </c>
      <c r="H149" s="1">
        <v>6000</v>
      </c>
      <c r="I149" s="1" t="str">
        <f>CONCATENATE(H149,"-",$J$8,", ",$J$21)</f>
        <v>6000-kart. tm. oliva, Gemini</v>
      </c>
    </row>
    <row r="150" spans="1:9" ht="15" customHeight="1">
      <c r="A150" s="52" t="str">
        <f t="shared" si="15"/>
        <v>N/A</v>
      </c>
      <c r="B150" s="52"/>
      <c r="C150" s="1" t="str">
        <f>CONCATENATE(H150,"-",$J$9,", ",$J$21)</f>
        <v>1700-kart. čierna, Gemini</v>
      </c>
      <c r="D150" s="53" t="s">
        <v>156</v>
      </c>
      <c r="E150" s="52" t="e">
        <f>+VLOOKUP(A150,cennik!$A:$G,2,FALSE)</f>
        <v>#N/A</v>
      </c>
      <c r="F150" s="52" t="e">
        <f>+VLOOKUP(A150,cennik!A:B,2,FALSE)</f>
        <v>#N/A</v>
      </c>
      <c r="G150" s="1" t="e">
        <f>+VLOOKUP(A150,#REF!,4,FALSE)</f>
        <v>#REF!</v>
      </c>
      <c r="H150" s="1" t="s">
        <v>541</v>
      </c>
      <c r="I150" s="1" t="str">
        <f>CONCATENATE(H150,"-",$J$9,", ",$J$21)</f>
        <v>1700-kart. čierna, Gemini</v>
      </c>
    </row>
    <row r="151" spans="1:9" ht="15" customHeight="1">
      <c r="A151" s="52" t="str">
        <f t="shared" si="15"/>
        <v>N/A</v>
      </c>
      <c r="B151" s="52"/>
      <c r="C151" s="1" t="str">
        <f>CONCATENATE(H151,"-",$J$9,", ",$J$21)</f>
        <v>2350-kart. čierna, Gemini</v>
      </c>
      <c r="D151" s="53" t="s">
        <v>156</v>
      </c>
      <c r="E151" s="52" t="e">
        <f>+VLOOKUP(A151,cennik!$A:$G,2,FALSE)</f>
        <v>#N/A</v>
      </c>
      <c r="F151" s="52" t="e">
        <f>+VLOOKUP(A151,cennik!A:B,2,FALSE)</f>
        <v>#N/A</v>
      </c>
      <c r="H151" s="1" t="s">
        <v>542</v>
      </c>
      <c r="I151" s="1" t="str">
        <f>CONCATENATE(H151,"-",$J$9,", ",$J$21)</f>
        <v>2350-kart. čierna, Gemini</v>
      </c>
    </row>
    <row r="152" spans="1:9" ht="15" customHeight="1">
      <c r="A152" s="52" t="str">
        <f t="shared" si="15"/>
        <v>N/A</v>
      </c>
      <c r="B152" s="52"/>
      <c r="C152" s="1" t="str">
        <f>CONCATENATE(H152,"-",$J$9,", ",$J$21)</f>
        <v>3000-kart. čierna, Gemini</v>
      </c>
      <c r="D152" s="53" t="s">
        <v>156</v>
      </c>
      <c r="E152" s="52" t="e">
        <f>+VLOOKUP(A152,cennik!$A:$G,2,FALSE)</f>
        <v>#N/A</v>
      </c>
      <c r="F152" s="52" t="e">
        <f>+VLOOKUP(A152,cennik!A:B,2,FALSE)</f>
        <v>#N/A</v>
      </c>
      <c r="H152" s="1" t="s">
        <v>543</v>
      </c>
      <c r="I152" s="1" t="str">
        <f>CONCATENATE(H152,"-",$J$9,", ",$J$21)</f>
        <v>3000-kart. čierna, Gemini</v>
      </c>
    </row>
    <row r="153" spans="1:9" ht="15" customHeight="1">
      <c r="A153" s="52" t="str">
        <f t="shared" si="15"/>
        <v>N/A</v>
      </c>
      <c r="B153" s="52"/>
      <c r="C153" s="1" t="str">
        <f>CONCATENATE(H153,"-",$J$9,", ",$J$21)</f>
        <v>4050-kart. čierna, Gemini</v>
      </c>
      <c r="D153" s="53" t="s">
        <v>156</v>
      </c>
      <c r="E153" s="52" t="e">
        <f>+VLOOKUP(A153,cennik!$A:$G,2,FALSE)</f>
        <v>#N/A</v>
      </c>
      <c r="F153" s="52" t="e">
        <f>+VLOOKUP(A153,cennik!A:B,2,FALSE)</f>
        <v>#N/A</v>
      </c>
      <c r="H153" s="1" t="s">
        <v>544</v>
      </c>
      <c r="I153" s="1" t="str">
        <f>CONCATENATE(H153,"-",$J$9,", ",$J$21)</f>
        <v>4050-kart. čierna, Gemini</v>
      </c>
    </row>
    <row r="154" spans="1:9" ht="15" customHeight="1">
      <c r="A154" s="52" t="str">
        <f t="shared" si="15"/>
        <v>N/A</v>
      </c>
      <c r="B154" s="52"/>
      <c r="C154" s="1" t="str">
        <f>CONCATENATE(H154,"-",$J$9,", ",$J$21)</f>
        <v>6000-kart. čierna, Gemini</v>
      </c>
      <c r="D154" s="53" t="s">
        <v>156</v>
      </c>
      <c r="E154" s="52" t="e">
        <f>+VLOOKUP(A154,cennik!$A:$G,2,FALSE)</f>
        <v>#N/A</v>
      </c>
      <c r="F154" s="52" t="e">
        <f>+VLOOKUP(A154,cennik!A:B,2,FALSE)</f>
        <v>#N/A</v>
      </c>
      <c r="H154" s="1">
        <v>6000</v>
      </c>
      <c r="I154" s="1" t="str">
        <f>CONCATENATE(H154,"-",$J$9,", ",$J$21)</f>
        <v>6000-kart. čierna, Gemini</v>
      </c>
    </row>
    <row r="155" spans="1:9" ht="15" customHeight="1">
      <c r="A155" s="52" t="str">
        <f t="shared" si="15"/>
        <v>N/A</v>
      </c>
      <c r="B155" s="52"/>
      <c r="C155" s="1" t="str">
        <f>CONCATENATE(H155,"-",$J$15,", ",$J$21)</f>
        <v>1700-biela lesk, Gemini</v>
      </c>
      <c r="D155" s="53" t="s">
        <v>156</v>
      </c>
      <c r="E155" s="52" t="e">
        <f>+VLOOKUP(A155,cennik!$A:$G,2,FALSE)</f>
        <v>#N/A</v>
      </c>
      <c r="F155" s="52" t="e">
        <f>+VLOOKUP(A155,cennik!A:B,2,FALSE)</f>
        <v>#N/A</v>
      </c>
      <c r="G155" s="1" t="e">
        <f>+VLOOKUP(A155,#REF!,4,FALSE)</f>
        <v>#REF!</v>
      </c>
      <c r="H155" s="1" t="s">
        <v>541</v>
      </c>
      <c r="I155" s="1" t="str">
        <f>CONCATENATE(H155,"-",$J$15,", ",$J$21)</f>
        <v>1700-biela lesk, Gemini</v>
      </c>
    </row>
    <row r="156" spans="1:9" ht="15" customHeight="1">
      <c r="A156" s="52" t="str">
        <f t="shared" si="15"/>
        <v>N/A</v>
      </c>
      <c r="B156" s="52"/>
      <c r="C156" s="1" t="str">
        <f>CONCATENATE(H156,"-",$J$15,", ",$J$21)</f>
        <v>2350-biela lesk, Gemini</v>
      </c>
      <c r="D156" s="53" t="s">
        <v>156</v>
      </c>
      <c r="E156" s="52" t="e">
        <f>+VLOOKUP(A156,cennik!$A:$G,2,FALSE)</f>
        <v>#N/A</v>
      </c>
      <c r="F156" s="52" t="e">
        <f>+VLOOKUP(A156,cennik!A:B,2,FALSE)</f>
        <v>#N/A</v>
      </c>
      <c r="H156" s="1" t="s">
        <v>542</v>
      </c>
      <c r="I156" s="1" t="str">
        <f>CONCATENATE(H156,"-",$J$15,", ",$J$21)</f>
        <v>2350-biela lesk, Gemini</v>
      </c>
    </row>
    <row r="157" spans="1:9" ht="15" customHeight="1">
      <c r="A157" s="52" t="str">
        <f t="shared" si="15"/>
        <v>N/A</v>
      </c>
      <c r="B157" s="52"/>
      <c r="C157" s="1" t="str">
        <f>CONCATENATE(H157,"-",$J$15,", ",$J$21)</f>
        <v>3000-biela lesk, Gemini</v>
      </c>
      <c r="D157" s="53" t="s">
        <v>156</v>
      </c>
      <c r="E157" s="52" t="e">
        <f>+VLOOKUP(A157,cennik!$A:$G,2,FALSE)</f>
        <v>#N/A</v>
      </c>
      <c r="F157" s="52" t="e">
        <f>+VLOOKUP(A157,cennik!A:B,2,FALSE)</f>
        <v>#N/A</v>
      </c>
      <c r="H157" s="1" t="s">
        <v>543</v>
      </c>
      <c r="I157" s="1" t="str">
        <f>CONCATENATE(H157,"-",$J$15,", ",$J$21)</f>
        <v>3000-biela lesk, Gemini</v>
      </c>
    </row>
    <row r="158" spans="1:9" ht="15" customHeight="1">
      <c r="A158" s="52" t="str">
        <f t="shared" si="15"/>
        <v>N/A</v>
      </c>
      <c r="B158" s="52"/>
      <c r="C158" s="1" t="str">
        <f>CONCATENATE(H158,"-",$J$15,", ",$J$21)</f>
        <v>4050-biela lesk, Gemini</v>
      </c>
      <c r="D158" s="53" t="s">
        <v>156</v>
      </c>
      <c r="E158" s="52" t="e">
        <f>+VLOOKUP(A158,cennik!$A:$G,2,FALSE)</f>
        <v>#N/A</v>
      </c>
      <c r="F158" s="52" t="e">
        <f>+VLOOKUP(A158,cennik!A:B,2,FALSE)</f>
        <v>#N/A</v>
      </c>
      <c r="H158" s="1" t="s">
        <v>544</v>
      </c>
      <c r="I158" s="1" t="str">
        <f>CONCATENATE(H158,"-",$J$15,", ",$J$21)</f>
        <v>4050-biela lesk, Gemini</v>
      </c>
    </row>
    <row r="159" spans="1:9" ht="15" customHeight="1">
      <c r="A159" s="52" t="str">
        <f t="shared" si="15"/>
        <v>N/A</v>
      </c>
      <c r="B159" s="52"/>
      <c r="C159" s="1" t="str">
        <f>CONCATENATE(H159,"-",$J$15,", ",$J$21)</f>
        <v>6000-biela lesk, Gemini</v>
      </c>
      <c r="D159" s="53" t="s">
        <v>156</v>
      </c>
      <c r="E159" s="52" t="e">
        <f>+VLOOKUP(A159,cennik!$A:$G,2,FALSE)</f>
        <v>#N/A</v>
      </c>
      <c r="F159" s="52" t="e">
        <f>+VLOOKUP(A159,cennik!A:B,2,FALSE)</f>
        <v>#N/A</v>
      </c>
      <c r="H159" s="1">
        <v>6000</v>
      </c>
      <c r="I159" s="1" t="str">
        <f>CONCATENATE(H159,"-",$J$15,", ",$J$21)</f>
        <v>6000-biela lesk, Gemini</v>
      </c>
    </row>
    <row r="160" spans="1:9" ht="15" customHeight="1">
      <c r="A160" s="557">
        <v>405427</v>
      </c>
      <c r="B160" s="557"/>
      <c r="C160" s="1" t="str">
        <f>CONCATENATE(H160,"-",$J$16,", ",$J$19)</f>
        <v>1700-čierna lesk, Elegant II</v>
      </c>
      <c r="D160" s="558">
        <v>405427</v>
      </c>
      <c r="E160" s="559" t="str">
        <f>+VLOOKUP(A160,cennik!$A:$G,2,FALSE)</f>
        <v>SEVROLL maska Elegant II 1,7m čierna lesk</v>
      </c>
      <c r="F160" s="559" t="str">
        <f>+VLOOKUP(A160,cennik!A:B,2,FALSE)</f>
        <v>SEVROLL maska Elegant II 1,7m čierna lesk</v>
      </c>
      <c r="G160" s="557"/>
      <c r="H160" s="557">
        <v>1700</v>
      </c>
      <c r="I160" s="1" t="str">
        <f>CONCATENATE(H160,"-",$J$16,", ",$J$19)</f>
        <v>1700-čierna lesk, Elegant II</v>
      </c>
    </row>
    <row r="161" spans="1:9" ht="15" customHeight="1">
      <c r="A161" s="557">
        <v>398553</v>
      </c>
      <c r="B161" s="557"/>
      <c r="C161" s="1" t="str">
        <f t="shared" ref="C161:C164" si="16">CONCATENATE(H161,"-",$J$16,", ",$J$19)</f>
        <v>2350-čierna lesk, Elegant II</v>
      </c>
      <c r="D161" s="558">
        <v>398553</v>
      </c>
      <c r="E161" s="559" t="str">
        <f>+VLOOKUP(A161,cennik!$A:$G,2,FALSE)</f>
        <v>SEVROLL maska Elegant II 2,35m čierna lesk</v>
      </c>
      <c r="F161" s="559" t="str">
        <f>+VLOOKUP(A161,cennik!A:B,2,FALSE)</f>
        <v>SEVROLL maska Elegant II 2,35m čierna lesk</v>
      </c>
      <c r="G161" s="557"/>
      <c r="H161" s="557">
        <v>2350</v>
      </c>
      <c r="I161" s="1" t="str">
        <f t="shared" ref="I161:I164" si="17">CONCATENATE(H161,"-",$J$16,", ",$J$19)</f>
        <v>2350-čierna lesk, Elegant II</v>
      </c>
    </row>
    <row r="162" spans="1:9" ht="15" customHeight="1">
      <c r="A162" s="557">
        <v>405428</v>
      </c>
      <c r="B162" s="557"/>
      <c r="C162" s="1" t="str">
        <f t="shared" si="16"/>
        <v>3000-čierna lesk, Elegant II</v>
      </c>
      <c r="D162" s="558">
        <v>405428</v>
      </c>
      <c r="E162" s="559" t="str">
        <f>+VLOOKUP(A162,cennik!$A:$G,2,FALSE)</f>
        <v>SEVROLL maska Elegant II 3m čierna lesk</v>
      </c>
      <c r="F162" s="559" t="str">
        <f>+VLOOKUP(A162,cennik!A:B,2,FALSE)</f>
        <v>SEVROLL maska Elegant II 3m čierna lesk</v>
      </c>
      <c r="G162" s="557"/>
      <c r="H162" s="557">
        <v>3000</v>
      </c>
      <c r="I162" s="1" t="str">
        <f t="shared" si="17"/>
        <v>3000-čierna lesk, Elegant II</v>
      </c>
    </row>
    <row r="163" spans="1:9" ht="15" customHeight="1">
      <c r="A163" s="557">
        <v>405429</v>
      </c>
      <c r="B163" s="557"/>
      <c r="C163" s="1" t="str">
        <f t="shared" si="16"/>
        <v>4050-čierna lesk, Elegant II</v>
      </c>
      <c r="D163" s="558">
        <v>405429</v>
      </c>
      <c r="E163" s="559" t="str">
        <f>+VLOOKUP(A163,cennik!$A:$G,2,FALSE)</f>
        <v>SEVROLL maska Elegant II 4,05m čierna lesk</v>
      </c>
      <c r="F163" s="559" t="str">
        <f>+VLOOKUP(A163,cennik!A:B,2,FALSE)</f>
        <v>SEVROLL maska Elegant II 4,05m čierna lesk</v>
      </c>
      <c r="G163" s="557"/>
      <c r="H163" s="557">
        <v>4050</v>
      </c>
      <c r="I163" s="1" t="str">
        <f t="shared" si="17"/>
        <v>4050-čierna lesk, Elegant II</v>
      </c>
    </row>
    <row r="164" spans="1:9" ht="15" customHeight="1">
      <c r="A164" s="557">
        <v>405430</v>
      </c>
      <c r="B164" s="557"/>
      <c r="C164" s="1" t="str">
        <f t="shared" si="16"/>
        <v>6000-čierna lesk, Elegant II</v>
      </c>
      <c r="D164" s="558">
        <v>405430</v>
      </c>
      <c r="E164" s="559" t="str">
        <f>+VLOOKUP(A164,cennik!$A:$G,2,FALSE)</f>
        <v>SEVROLL maska Elegant II 6m čierna lesk</v>
      </c>
      <c r="F164" s="559" t="str">
        <f>+VLOOKUP(A164,cennik!A:B,2,FALSE)</f>
        <v>SEVROLL maska Elegant II 6m čierna lesk</v>
      </c>
      <c r="G164" s="557"/>
      <c r="H164" s="557">
        <v>6000</v>
      </c>
      <c r="I164" s="1" t="str">
        <f t="shared" si="17"/>
        <v>6000-čierna lesk, Elegant II</v>
      </c>
    </row>
    <row r="165" spans="1:9" ht="15" customHeight="1">
      <c r="A165" s="557">
        <v>452751</v>
      </c>
      <c r="B165" s="557"/>
      <c r="C165" s="1" t="str">
        <f>CONCATENATE(H165,"-",$J$17,", ",$J$19)</f>
        <v>1700-čierna mat, Elegant II</v>
      </c>
      <c r="D165" s="558">
        <v>452751</v>
      </c>
      <c r="E165" s="559" t="str">
        <f>+VLOOKUP(A165,cennik!$A:$G,2,FALSE)</f>
        <v>SEVROLL maska Elegant II 1,7m čierna mat</v>
      </c>
      <c r="F165" s="559" t="str">
        <f>+VLOOKUP(A165,cennik!A:B,2,FALSE)</f>
        <v>SEVROLL maska Elegant II 1,7m čierna mat</v>
      </c>
      <c r="G165" s="557"/>
      <c r="H165" s="557">
        <v>1700</v>
      </c>
      <c r="I165" s="1" t="str">
        <f>CONCATENATE(H165,"-",$J$17,", ",$J$19)</f>
        <v>1700-čierna mat, Elegant II</v>
      </c>
    </row>
    <row r="166" spans="1:9" ht="15" customHeight="1">
      <c r="A166" s="557">
        <v>409679</v>
      </c>
      <c r="B166" s="557"/>
      <c r="C166" s="1" t="str">
        <f t="shared" ref="C166:C169" si="18">CONCATENATE(H166,"-",$J$17,", ",$J$19)</f>
        <v>2350-čierna mat, Elegant II</v>
      </c>
      <c r="D166" s="557">
        <v>409679</v>
      </c>
      <c r="E166" s="559" t="str">
        <f>+VLOOKUP(A166,cennik!$A:$G,2,FALSE)</f>
        <v>SEVROLL maska Elegant II 2,35m čierna mat</v>
      </c>
      <c r="F166" s="559" t="str">
        <f>+VLOOKUP(A166,cennik!A:B,2,FALSE)</f>
        <v>SEVROLL maska Elegant II 2,35m čierna mat</v>
      </c>
      <c r="G166" s="557"/>
      <c r="H166" s="557">
        <v>2350</v>
      </c>
      <c r="I166" s="1" t="str">
        <f t="shared" ref="I166:I169" si="19">CONCATENATE(H166,"-",$J$17,", ",$J$19)</f>
        <v>2350-čierna mat, Elegant II</v>
      </c>
    </row>
    <row r="167" spans="1:9" ht="15" customHeight="1">
      <c r="A167" s="557">
        <v>414086</v>
      </c>
      <c r="B167" s="557"/>
      <c r="C167" s="1" t="str">
        <f t="shared" si="18"/>
        <v>3000-čierna mat, Elegant II</v>
      </c>
      <c r="D167" s="557">
        <v>414086</v>
      </c>
      <c r="E167" s="559" t="str">
        <f>+VLOOKUP(A167,cennik!$A:$G,2,FALSE)</f>
        <v>SEVROLL maska Elegant II 3m čierny mat</v>
      </c>
      <c r="F167" s="559" t="str">
        <f>+VLOOKUP(A167,cennik!A:B,2,FALSE)</f>
        <v>SEVROLL maska Elegant II 3m čierny mat</v>
      </c>
      <c r="G167" s="557"/>
      <c r="H167" s="557">
        <v>3000</v>
      </c>
      <c r="I167" s="1" t="str">
        <f t="shared" si="19"/>
        <v>3000-čierna mat, Elegant II</v>
      </c>
    </row>
    <row r="168" spans="1:9" ht="15" customHeight="1">
      <c r="A168" s="557">
        <v>409680</v>
      </c>
      <c r="B168" s="557"/>
      <c r="C168" s="1" t="str">
        <f t="shared" si="18"/>
        <v>4050-čierna mat, Elegant II</v>
      </c>
      <c r="D168" s="557">
        <v>409680</v>
      </c>
      <c r="E168" s="559" t="str">
        <f>+VLOOKUP(A168,cennik!$A:$G,2,FALSE)</f>
        <v>SEVROLL maska Elegant II 4,05m čierna mat</v>
      </c>
      <c r="F168" s="559" t="str">
        <f>+VLOOKUP(A168,cennik!A:B,2,FALSE)</f>
        <v>SEVROLL maska Elegant II 4,05m čierna mat</v>
      </c>
      <c r="G168" s="557"/>
      <c r="H168" s="557">
        <v>4050</v>
      </c>
      <c r="I168" s="1" t="str">
        <f t="shared" si="19"/>
        <v>4050-čierna mat, Elegant II</v>
      </c>
    </row>
    <row r="169" spans="1:9" ht="15" customHeight="1">
      <c r="A169" s="557">
        <v>452757</v>
      </c>
      <c r="B169" s="557"/>
      <c r="C169" s="1" t="str">
        <f t="shared" si="18"/>
        <v>6000-čierna mat, Elegant II</v>
      </c>
      <c r="D169" s="558">
        <v>452757</v>
      </c>
      <c r="E169" s="559" t="str">
        <f>+VLOOKUP(A169,cennik!$A:$G,2,FALSE)</f>
        <v>SEVROLL maska Elegant II 6m čierna mat</v>
      </c>
      <c r="F169" s="559" t="str">
        <f>+VLOOKUP(A169,cennik!A:B,2,FALSE)</f>
        <v>SEVROLL maska Elegant II 6m čierna mat</v>
      </c>
      <c r="G169" s="557"/>
      <c r="H169" s="557">
        <v>6000</v>
      </c>
      <c r="I169" s="1" t="str">
        <f t="shared" si="19"/>
        <v>6000-čierna mat, Elegant II</v>
      </c>
    </row>
    <row r="170" spans="1:9" s="578" customFormat="1" ht="15" customHeight="1">
      <c r="A170" s="577">
        <v>394831</v>
      </c>
      <c r="C170" s="1" t="str">
        <f>CONCATENATE(H170,"-",$J$18,", ",$J$19)</f>
        <v>6000-biela mat, Elegant II</v>
      </c>
      <c r="D170" s="577">
        <v>394831</v>
      </c>
      <c r="E170" s="559" t="str">
        <f>+VLOOKUP(A170,cennik!$A:$G,2,FALSE)</f>
        <v>SEVROLL maska Elegant II 6m biela mat</v>
      </c>
      <c r="F170" s="559" t="str">
        <f>+VLOOKUP(A170,cennik!A:B,2,FALSE)</f>
        <v>SEVROLL maska Elegant II 6m biela mat</v>
      </c>
      <c r="H170" s="578">
        <v>6000</v>
      </c>
      <c r="I170" s="1" t="str">
        <f>CONCATENATE(H170,"-",$J$18,", ",$J$19)</f>
        <v>6000-biela mat, Elegant II</v>
      </c>
    </row>
    <row r="171" spans="1:9" s="578" customFormat="1" ht="15" customHeight="1">
      <c r="A171" s="577">
        <v>394848</v>
      </c>
      <c r="C171" s="1" t="str">
        <f t="shared" ref="C171:C174" si="20">CONCATENATE(H171,"-",$J$18,", ",$J$19)</f>
        <v>1700-biela mat, Elegant II</v>
      </c>
      <c r="D171" s="577">
        <v>394848</v>
      </c>
      <c r="E171" s="559" t="str">
        <f>+VLOOKUP(A171,cennik!$A:$G,2,FALSE)</f>
        <v>SEVROLL maska Elegant II 1,7m biela mat</v>
      </c>
      <c r="F171" s="559" t="str">
        <f>+VLOOKUP(A171,cennik!A:B,2,FALSE)</f>
        <v>SEVROLL maska Elegant II 1,7m biela mat</v>
      </c>
      <c r="H171" s="578">
        <v>1700</v>
      </c>
      <c r="I171" s="1" t="str">
        <f t="shared" ref="I171:I174" si="21">CONCATENATE(H171,"-",$J$18,", ",$J$19)</f>
        <v>1700-biela mat, Elegant II</v>
      </c>
    </row>
    <row r="172" spans="1:9" s="578" customFormat="1" ht="15" customHeight="1">
      <c r="A172" s="577">
        <v>395039</v>
      </c>
      <c r="C172" s="1" t="str">
        <f t="shared" si="20"/>
        <v>2350-biela mat, Elegant II</v>
      </c>
      <c r="D172" s="577">
        <v>395039</v>
      </c>
      <c r="E172" s="559" t="str">
        <f>+VLOOKUP(A172,cennik!$A:$G,2,FALSE)</f>
        <v>SEVROLL maska Elegant II 2,35m biela mat</v>
      </c>
      <c r="F172" s="559" t="str">
        <f>+VLOOKUP(A172,cennik!A:B,2,FALSE)</f>
        <v>SEVROLL maska Elegant II 2,35m biela mat</v>
      </c>
      <c r="H172" s="578">
        <v>2350</v>
      </c>
      <c r="I172" s="1" t="str">
        <f t="shared" si="21"/>
        <v>2350-biela mat, Elegant II</v>
      </c>
    </row>
    <row r="173" spans="1:9" s="578" customFormat="1" ht="15" customHeight="1">
      <c r="A173" s="577">
        <v>395041</v>
      </c>
      <c r="C173" s="1" t="str">
        <f t="shared" si="20"/>
        <v>3000-biela mat, Elegant II</v>
      </c>
      <c r="D173" s="577">
        <v>395041</v>
      </c>
      <c r="E173" s="559" t="str">
        <f>+VLOOKUP(A173,cennik!$A:$G,2,FALSE)</f>
        <v>SEVROLL maska Elegant II 3m biela mat</v>
      </c>
      <c r="F173" s="559" t="str">
        <f>+VLOOKUP(A173,cennik!A:B,2,FALSE)</f>
        <v>SEVROLL maska Elegant II 3m biela mat</v>
      </c>
      <c r="H173" s="578">
        <v>3000</v>
      </c>
      <c r="I173" s="1" t="str">
        <f t="shared" si="21"/>
        <v>3000-biela mat, Elegant II</v>
      </c>
    </row>
    <row r="174" spans="1:9" s="578" customFormat="1" ht="15" customHeight="1">
      <c r="A174" s="577">
        <v>395042</v>
      </c>
      <c r="C174" s="1" t="str">
        <f t="shared" si="20"/>
        <v>4050-biela mat, Elegant II</v>
      </c>
      <c r="D174" s="577">
        <v>395042</v>
      </c>
      <c r="E174" s="559" t="str">
        <f>+VLOOKUP(A174,cennik!$A:$G,2,FALSE)</f>
        <v>SEVROLL maska Elegant II 4,05m biela mat</v>
      </c>
      <c r="F174" s="559" t="str">
        <f>+VLOOKUP(A174,cennik!A:B,2,FALSE)</f>
        <v>SEVROLL maska Elegant II 4,05m biela mat</v>
      </c>
      <c r="H174" s="578">
        <v>4050</v>
      </c>
      <c r="I174" s="1" t="str">
        <f t="shared" si="21"/>
        <v>4050-biela mat, Elegant II</v>
      </c>
    </row>
    <row r="175" spans="1:9" ht="15" customHeight="1">
      <c r="A175" s="52">
        <f t="shared" si="15"/>
        <v>0</v>
      </c>
      <c r="B175" s="52" t="s">
        <v>23</v>
      </c>
      <c r="D175" s="53"/>
      <c r="E175" s="52"/>
      <c r="F175" s="52"/>
      <c r="G175" s="1" t="e">
        <f>+VLOOKUP(A175,#REF!,4,FALSE)</f>
        <v>#REF!</v>
      </c>
      <c r="H175" s="1" t="s">
        <v>84</v>
      </c>
    </row>
    <row r="176" spans="1:9" ht="15" customHeight="1">
      <c r="A176" s="52">
        <f t="shared" si="15"/>
        <v>89106</v>
      </c>
      <c r="B176" s="52"/>
      <c r="C176" s="1" t="str">
        <f>CONCATENATE(H176,"-",$J$4)</f>
        <v xml:space="preserve">1700-strieborná </v>
      </c>
      <c r="D176" s="53">
        <v>89106</v>
      </c>
      <c r="E176" s="52" t="str">
        <f>+VLOOKUP(A176,cennik!$A:$G,2,FALSE)</f>
        <v>SEVROLL Gemini horné vedenie 1,7m strieborná</v>
      </c>
      <c r="F176" s="52" t="str">
        <f>+VLOOKUP(A176,cennik!A:B,2,FALSE)</f>
        <v>SEVROLL Gemini horné vedenie 1,7m strieborná</v>
      </c>
      <c r="G176" s="1" t="e">
        <f>+VLOOKUP(A176,#REF!,4,FALSE)</f>
        <v>#REF!</v>
      </c>
      <c r="H176" s="1">
        <v>1700</v>
      </c>
      <c r="I176" s="1" t="str">
        <f>CONCATENATE(H176,"-",$J$4)</f>
        <v xml:space="preserve">1700-strieborná </v>
      </c>
    </row>
    <row r="177" spans="1:9" ht="15" customHeight="1">
      <c r="A177" s="52">
        <f t="shared" si="15"/>
        <v>89109</v>
      </c>
      <c r="B177" s="52"/>
      <c r="C177" s="1" t="str">
        <f>CONCATENATE(H177,"-",$J$4)</f>
        <v xml:space="preserve">2350-strieborná </v>
      </c>
      <c r="D177" s="53">
        <v>89109</v>
      </c>
      <c r="E177" s="52" t="str">
        <f>+VLOOKUP(A177,cennik!$A:$G,2,FALSE)</f>
        <v>SEVROLL Gemini horné vedenie 2,35m strieborn</v>
      </c>
      <c r="F177" s="52" t="str">
        <f>+VLOOKUP(A177,cennik!A:B,2,FALSE)</f>
        <v>SEVROLL Gemini horné vedenie 2,35m strieborn</v>
      </c>
      <c r="G177" s="1" t="e">
        <f>+VLOOKUP(A177,#REF!,4,FALSE)</f>
        <v>#REF!</v>
      </c>
      <c r="H177" s="1">
        <v>2350</v>
      </c>
      <c r="I177" s="1" t="str">
        <f>CONCATENATE(H177,"-",$J$4)</f>
        <v xml:space="preserve">2350-strieborná </v>
      </c>
    </row>
    <row r="178" spans="1:9" ht="15" customHeight="1">
      <c r="A178" s="52">
        <f t="shared" si="15"/>
        <v>89112</v>
      </c>
      <c r="B178" s="52"/>
      <c r="C178" s="1" t="str">
        <f>CONCATENATE(H178,"-",$J$4)</f>
        <v xml:space="preserve">3000-strieborná </v>
      </c>
      <c r="D178" s="53">
        <v>89112</v>
      </c>
      <c r="E178" s="52" t="str">
        <f>+VLOOKUP(A178,cennik!$A:$G,2,FALSE)</f>
        <v>SEVROLL Gemini horné vedenie 3m strieborná</v>
      </c>
      <c r="F178" s="52" t="str">
        <f>+VLOOKUP(A178,cennik!A:B,2,FALSE)</f>
        <v>SEVROLL Gemini horné vedenie 3m strieborná</v>
      </c>
      <c r="G178" s="1" t="e">
        <f>+VLOOKUP(A178,#REF!,4,FALSE)</f>
        <v>#REF!</v>
      </c>
      <c r="H178" s="1">
        <v>3000</v>
      </c>
      <c r="I178" s="1" t="str">
        <f>CONCATENATE(H178,"-",$J$4)</f>
        <v xml:space="preserve">3000-strieborná </v>
      </c>
    </row>
    <row r="179" spans="1:9" ht="15" customHeight="1">
      <c r="A179" s="52">
        <f t="shared" si="15"/>
        <v>89115</v>
      </c>
      <c r="B179" s="52"/>
      <c r="C179" s="1" t="str">
        <f>CONCATENATE(H179,"-",$J$4)</f>
        <v xml:space="preserve">4050-strieborná </v>
      </c>
      <c r="D179" s="53">
        <v>89115</v>
      </c>
      <c r="E179" s="52" t="str">
        <f>+VLOOKUP(A179,cennik!$A:$G,2,FALSE)</f>
        <v>SEVROLL Gemini horné vedenie 4,05m striebor</v>
      </c>
      <c r="F179" s="52" t="str">
        <f>+VLOOKUP(A179,cennik!A:B,2,FALSE)</f>
        <v>SEVROLL Gemini horné vedenie 4,05m striebor</v>
      </c>
      <c r="G179" s="1" t="e">
        <f>+VLOOKUP(A179,#REF!,4,FALSE)</f>
        <v>#REF!</v>
      </c>
      <c r="H179" s="1">
        <v>4050</v>
      </c>
      <c r="I179" s="1" t="str">
        <f>CONCATENATE(H179,"-",$J$4)</f>
        <v xml:space="preserve">4050-strieborná </v>
      </c>
    </row>
    <row r="180" spans="1:9" ht="15" customHeight="1">
      <c r="A180" s="158">
        <v>134933</v>
      </c>
      <c r="B180" s="52"/>
      <c r="C180" s="1" t="str">
        <f>CONCATENATE(H180,"-",$J$4)</f>
        <v xml:space="preserve">6000-strieborná </v>
      </c>
      <c r="D180" s="53">
        <v>134933</v>
      </c>
      <c r="E180" s="52" t="str">
        <f>+VLOOKUP(A180,cennik!$A:$G,2,FALSE)</f>
        <v>SEVROLL Gemini horné vedenie 6m strieborná</v>
      </c>
      <c r="F180" s="52" t="str">
        <f>+VLOOKUP(A180,cennik!A:B,2,FALSE)</f>
        <v>SEVROLL Gemini horné vedenie 6m strieborná</v>
      </c>
      <c r="H180" s="1">
        <v>6000</v>
      </c>
      <c r="I180" s="1" t="str">
        <f>CONCATENATE(H180,"-",$J$4)</f>
        <v xml:space="preserve">6000-strieborná </v>
      </c>
    </row>
    <row r="181" spans="1:9" ht="15" customHeight="1">
      <c r="A181" s="52">
        <f>+D181</f>
        <v>89104</v>
      </c>
      <c r="B181" s="52"/>
      <c r="C181" s="1" t="str">
        <f>CONCATENATE(H181,"-",$J$5)</f>
        <v>1700-zlatá</v>
      </c>
      <c r="D181" s="53">
        <v>89104</v>
      </c>
      <c r="E181" s="52" t="str">
        <f>+VLOOKUP(A181,cennik!$A:$G,2,FALSE)</f>
        <v>SEVROLL Gemini horné vedenie 1,7m zlatá</v>
      </c>
      <c r="F181" s="52" t="str">
        <f>+VLOOKUP(A181,cennik!A:B,2,FALSE)</f>
        <v>SEVROLL Gemini horné vedenie 1,7m zlatá</v>
      </c>
      <c r="G181" s="1" t="e">
        <f>+VLOOKUP(A181,#REF!,4,FALSE)</f>
        <v>#REF!</v>
      </c>
      <c r="H181" s="1">
        <v>1700</v>
      </c>
      <c r="I181" s="1" t="str">
        <f>CONCATENATE(H181,"-",$J$5)</f>
        <v>1700-zlatá</v>
      </c>
    </row>
    <row r="182" spans="1:9" ht="15" customHeight="1">
      <c r="A182" s="52">
        <f>+D182</f>
        <v>89107</v>
      </c>
      <c r="B182" s="52"/>
      <c r="C182" s="1" t="str">
        <f>CONCATENATE(H182,"-",$J$5)</f>
        <v>2350-zlatá</v>
      </c>
      <c r="D182" s="53">
        <v>89107</v>
      </c>
      <c r="E182" s="52" t="str">
        <f>+VLOOKUP(A182,cennik!$A:$G,2,FALSE)</f>
        <v>SEVROLL horné vedenie 2,35m zlatá</v>
      </c>
      <c r="F182" s="52" t="str">
        <f>+VLOOKUP(A182,cennik!A:B,2,FALSE)</f>
        <v>SEVROLL horné vedenie 2,35m zlatá</v>
      </c>
      <c r="G182" s="1" t="e">
        <f>+VLOOKUP(A182,#REF!,4,FALSE)</f>
        <v>#REF!</v>
      </c>
      <c r="H182" s="1">
        <v>2350</v>
      </c>
      <c r="I182" s="1" t="str">
        <f>CONCATENATE(H182,"-",$J$5)</f>
        <v>2350-zlatá</v>
      </c>
    </row>
    <row r="183" spans="1:9" ht="15" customHeight="1">
      <c r="A183" s="52">
        <f>+D183</f>
        <v>89110</v>
      </c>
      <c r="B183" s="52"/>
      <c r="C183" s="1" t="str">
        <f>CONCATENATE(H183,"-",$J$5)</f>
        <v>3000-zlatá</v>
      </c>
      <c r="D183" s="53">
        <v>89110</v>
      </c>
      <c r="E183" s="52" t="str">
        <f>+VLOOKUP(A183,cennik!$A:$G,2,FALSE)</f>
        <v>SEVROLL horné vedenie 3m zlatá</v>
      </c>
      <c r="F183" s="52" t="str">
        <f>+VLOOKUP(A183,cennik!A:B,2,FALSE)</f>
        <v>SEVROLL horné vedenie 3m zlatá</v>
      </c>
      <c r="G183" s="1" t="e">
        <f>+VLOOKUP(A183,#REF!,4,FALSE)</f>
        <v>#REF!</v>
      </c>
      <c r="H183" s="1">
        <v>3000</v>
      </c>
      <c r="I183" s="1" t="str">
        <f>CONCATENATE(H183,"-",$J$5)</f>
        <v>3000-zlatá</v>
      </c>
    </row>
    <row r="184" spans="1:9" ht="15" customHeight="1">
      <c r="A184" s="52">
        <f>+D184</f>
        <v>89113</v>
      </c>
      <c r="B184" s="52"/>
      <c r="C184" s="1" t="str">
        <f>CONCATENATE(H184,"-",$J$5)</f>
        <v>4050-zlatá</v>
      </c>
      <c r="D184" s="53">
        <v>89113</v>
      </c>
      <c r="E184" s="52" t="str">
        <f>+VLOOKUP(A184,cennik!$A:$G,2,FALSE)</f>
        <v>SEVROLL Gemini horné vedenie 4,05m zlatá</v>
      </c>
      <c r="F184" s="52" t="str">
        <f>+VLOOKUP(A184,cennik!A:B,2,FALSE)</f>
        <v>SEVROLL Gemini horné vedenie 4,05m zlatá</v>
      </c>
      <c r="G184" s="1" t="e">
        <f>+VLOOKUP(A184,#REF!,4,FALSE)</f>
        <v>#REF!</v>
      </c>
      <c r="H184" s="1">
        <v>4050</v>
      </c>
      <c r="I184" s="1" t="str">
        <f>CONCATENATE(H184,"-",$J$5)</f>
        <v>4050-zlatá</v>
      </c>
    </row>
    <row r="185" spans="1:9" ht="15" customHeight="1">
      <c r="A185" s="159">
        <v>134935</v>
      </c>
      <c r="B185" s="52"/>
      <c r="C185" s="1" t="str">
        <f>CONCATENATE(H185,"-",$J$5)</f>
        <v>6000-zlatá</v>
      </c>
      <c r="D185" s="53">
        <v>134935</v>
      </c>
      <c r="E185" s="52" t="str">
        <f>+VLOOKUP(A185,cennik!$A:$G,2,FALSE)</f>
        <v>SEVROLL Gemini horné vedenie 6m zlatá</v>
      </c>
      <c r="F185" s="52" t="str">
        <f>+VLOOKUP(A185,cennik!A:B,2,FALSE)</f>
        <v>SEVROLL Gemini horné vedenie 6m zlatá</v>
      </c>
      <c r="H185" s="1">
        <v>6000</v>
      </c>
      <c r="I185" s="1" t="str">
        <f>CONCATENATE(H185,"-",$J$5)</f>
        <v>6000-zlatá</v>
      </c>
    </row>
    <row r="186" spans="1:9" ht="15" customHeight="1">
      <c r="A186" s="52">
        <f>+D186</f>
        <v>89105</v>
      </c>
      <c r="B186" s="52"/>
      <c r="C186" s="1" t="str">
        <f>CONCATENATE(H186,"-",$J$6)</f>
        <v>1700-oliva</v>
      </c>
      <c r="D186" s="53">
        <v>89105</v>
      </c>
      <c r="E186" s="52" t="str">
        <f>+VLOOKUP(A186,cennik!$A:$G,2,FALSE)</f>
        <v>SEVROLL Gemini horné vedenie 1,7m oliva</v>
      </c>
      <c r="F186" s="52" t="str">
        <f>+VLOOKUP(A186,cennik!A:B,2,FALSE)</f>
        <v>SEVROLL Gemini horné vedenie 1,7m oliva</v>
      </c>
      <c r="G186" s="1" t="e">
        <f>+VLOOKUP(A186,#REF!,4,FALSE)</f>
        <v>#REF!</v>
      </c>
      <c r="H186" s="1">
        <v>1700</v>
      </c>
      <c r="I186" s="1" t="str">
        <f>CONCATENATE(H186,"-",$J$6)</f>
        <v>1700-oliva</v>
      </c>
    </row>
    <row r="187" spans="1:9" ht="15" customHeight="1">
      <c r="A187" s="52">
        <f>+D187</f>
        <v>89108</v>
      </c>
      <c r="B187" s="52"/>
      <c r="C187" s="1" t="str">
        <f>CONCATENATE(H187,"-",$J$6)</f>
        <v>2350-oliva</v>
      </c>
      <c r="D187" s="53">
        <v>89108</v>
      </c>
      <c r="E187" s="52" t="str">
        <f>+VLOOKUP(A187,cennik!$A:$G,2,FALSE)</f>
        <v>SEVROLL Gemini horné vedenie 2,35m oliva</v>
      </c>
      <c r="F187" s="52" t="str">
        <f>+VLOOKUP(A187,cennik!A:B,2,FALSE)</f>
        <v>SEVROLL Gemini horné vedenie 2,35m oliva</v>
      </c>
      <c r="G187" s="1" t="e">
        <f>+VLOOKUP(A187,#REF!,4,FALSE)</f>
        <v>#REF!</v>
      </c>
      <c r="H187" s="1">
        <v>2350</v>
      </c>
      <c r="I187" s="1" t="str">
        <f>CONCATENATE(H187,"-",$J$6)</f>
        <v>2350-oliva</v>
      </c>
    </row>
    <row r="188" spans="1:9" ht="15" customHeight="1">
      <c r="A188" s="52">
        <f>+D188</f>
        <v>89111</v>
      </c>
      <c r="B188" s="52"/>
      <c r="C188" s="1" t="str">
        <f>CONCATENATE(H188,"-",$J$6)</f>
        <v>3000-oliva</v>
      </c>
      <c r="D188" s="53">
        <v>89111</v>
      </c>
      <c r="E188" s="52" t="str">
        <f>+VLOOKUP(A188,cennik!$A:$G,2,FALSE)</f>
        <v>SEVROLL Gemini horné vedenie 3m oliva</v>
      </c>
      <c r="F188" s="52" t="str">
        <f>+VLOOKUP(A188,cennik!A:B,2,FALSE)</f>
        <v>SEVROLL Gemini horné vedenie 3m oliva</v>
      </c>
      <c r="G188" s="1" t="e">
        <f>+VLOOKUP(A188,#REF!,4,FALSE)</f>
        <v>#REF!</v>
      </c>
      <c r="H188" s="1">
        <v>3000</v>
      </c>
      <c r="I188" s="1" t="str">
        <f>CONCATENATE(H188,"-",$J$6)</f>
        <v>3000-oliva</v>
      </c>
    </row>
    <row r="189" spans="1:9" ht="15" customHeight="1">
      <c r="A189" s="52">
        <f>+D189</f>
        <v>89114</v>
      </c>
      <c r="B189" s="52"/>
      <c r="C189" s="1" t="str">
        <f>CONCATENATE(H189,"-",$J$6)</f>
        <v>4050-oliva</v>
      </c>
      <c r="D189" s="53">
        <v>89114</v>
      </c>
      <c r="E189" s="52" t="str">
        <f>+VLOOKUP(A189,cennik!$A:$G,2,FALSE)</f>
        <v>SEV -Gemini horné vedenie 4,05m oliva</v>
      </c>
      <c r="F189" s="52" t="str">
        <f>+VLOOKUP(A189,cennik!A:B,2,FALSE)</f>
        <v>SEV -Gemini horné vedenie 4,05m oliva</v>
      </c>
      <c r="G189" s="1" t="e">
        <f>+VLOOKUP(A189,#REF!,4,FALSE)</f>
        <v>#REF!</v>
      </c>
      <c r="H189" s="1">
        <v>4050</v>
      </c>
      <c r="I189" s="1" t="str">
        <f>CONCATENATE(H189,"-",$J$6)</f>
        <v>4050-oliva</v>
      </c>
    </row>
    <row r="190" spans="1:9" ht="15" customHeight="1">
      <c r="A190" s="160">
        <v>134934</v>
      </c>
      <c r="B190" s="52"/>
      <c r="C190" s="1" t="str">
        <f>CONCATENATE(H190,"-",$J$6)</f>
        <v>6000-oliva</v>
      </c>
      <c r="D190" s="53">
        <v>134934</v>
      </c>
      <c r="E190" s="52" t="str">
        <f>+VLOOKUP(A190,cennik!$A:$G,2,FALSE)</f>
        <v>SEVROLL Gemini horné vedenie 6m oliva</v>
      </c>
      <c r="F190" s="52" t="str">
        <f>+VLOOKUP(A190,cennik!A:B,2,FALSE)</f>
        <v>SEVROLL Gemini horné vedenie 6m oliva</v>
      </c>
      <c r="H190" s="1">
        <v>6000</v>
      </c>
      <c r="I190" s="1" t="str">
        <f>CONCATENATE(H190,"-",$J$6)</f>
        <v>6000-oliva</v>
      </c>
    </row>
    <row r="191" spans="1:9" ht="15" customHeight="1">
      <c r="A191" s="52">
        <f t="shared" ref="A191:A210" si="22">+D191</f>
        <v>119459</v>
      </c>
      <c r="B191" s="52"/>
      <c r="C191" s="1" t="str">
        <f>CONCATENATE(H191,"-",$J$7)</f>
        <v>1700-oliva kartáčovaná</v>
      </c>
      <c r="D191" s="53">
        <v>119459</v>
      </c>
      <c r="E191" s="52" t="str">
        <f>+VLOOKUP(A191,cennik!$A:$G,2,FALSE)</f>
        <v>SEVROL- Gemini HORNÉ VEDENIE 1,70M OLIVA</v>
      </c>
      <c r="F191" s="52" t="str">
        <f>+VLOOKUP(A191,cennik!A:B,2,FALSE)</f>
        <v>SEVROL- Gemini HORNÉ VEDENIE 1,70M OLIVA</v>
      </c>
      <c r="H191" s="1">
        <v>1700</v>
      </c>
      <c r="I191" s="1" t="str">
        <f>CONCATENATE(H191,"-",$J$7)</f>
        <v>1700-oliva kartáčovaná</v>
      </c>
    </row>
    <row r="192" spans="1:9" ht="15" customHeight="1">
      <c r="A192" s="52">
        <f t="shared" si="22"/>
        <v>120864</v>
      </c>
      <c r="B192" s="52"/>
      <c r="C192" s="1" t="str">
        <f>CONCATENATE(H192,"-",$J$7)</f>
        <v>2350-oliva kartáčovaná</v>
      </c>
      <c r="D192" s="53">
        <v>120864</v>
      </c>
      <c r="E192" s="52" t="str">
        <f>+VLOOKUP(A192,cennik!$A:$G,2,FALSE)</f>
        <v>SEVROL- Gemini horné vedenie 2,35M OLIVA</v>
      </c>
      <c r="F192" s="52" t="str">
        <f>+VLOOKUP(A192,cennik!A:B,2,FALSE)</f>
        <v>SEVROL- Gemini horné vedenie 2,35M OLIVA</v>
      </c>
      <c r="H192" s="1">
        <v>2350</v>
      </c>
      <c r="I192" s="1" t="str">
        <f>CONCATENATE(H192,"-",$J$7)</f>
        <v>2350-oliva kartáčovaná</v>
      </c>
    </row>
    <row r="193" spans="1:9" ht="15" customHeight="1">
      <c r="A193" s="52">
        <f t="shared" si="22"/>
        <v>120865</v>
      </c>
      <c r="B193" s="52"/>
      <c r="C193" s="1" t="str">
        <f>CONCATENATE(H193,"-",$J$7)</f>
        <v>3000-oliva kartáčovaná</v>
      </c>
      <c r="D193" s="53">
        <v>120865</v>
      </c>
      <c r="E193" s="52" t="str">
        <f>+VLOOKUP(A193,cennik!$A:$G,2,FALSE)</f>
        <v>SEVROL- Gemini horné vedenie 3M OLIVA KA</v>
      </c>
      <c r="F193" s="52" t="str">
        <f>+VLOOKUP(A193,cennik!A:B,2,FALSE)</f>
        <v>SEVROL- Gemini horné vedenie 3M OLIVA KA</v>
      </c>
      <c r="H193" s="1">
        <v>3000</v>
      </c>
      <c r="I193" s="1" t="str">
        <f>CONCATENATE(H193,"-",$J$7)</f>
        <v>3000-oliva kartáčovaná</v>
      </c>
    </row>
    <row r="194" spans="1:9" ht="15" customHeight="1">
      <c r="A194" s="52">
        <f t="shared" si="22"/>
        <v>120867</v>
      </c>
      <c r="B194" s="52"/>
      <c r="C194" s="1" t="str">
        <f>CONCATENATE(H194,"-",$J$7)</f>
        <v>4050-oliva kartáčovaná</v>
      </c>
      <c r="D194" s="53">
        <v>120867</v>
      </c>
      <c r="E194" s="52" t="str">
        <f>+VLOOKUP(A194,cennik!$A:$G,2,FALSE)</f>
        <v>SEVROL- Gemini horné vedenie 4,05M OLIVA</v>
      </c>
      <c r="F194" s="52" t="str">
        <f>+VLOOKUP(A194,cennik!A:B,2,FALSE)</f>
        <v>SEVROL- Gemini horné vedenie 4,05M OLIVA</v>
      </c>
      <c r="H194" s="1">
        <v>4050</v>
      </c>
      <c r="I194" s="1" t="str">
        <f>CONCATENATE(H194,"-",$J$7)</f>
        <v>4050-oliva kartáčovaná</v>
      </c>
    </row>
    <row r="195" spans="1:9" ht="15" customHeight="1">
      <c r="A195" s="52">
        <f t="shared" si="22"/>
        <v>225370</v>
      </c>
      <c r="B195" s="52"/>
      <c r="C195" s="1" t="str">
        <f>CONCATENATE(H195,"-",$J$7)</f>
        <v>6000-oliva kartáčovaná</v>
      </c>
      <c r="D195" s="53">
        <v>225370</v>
      </c>
      <c r="E195" s="52" t="str">
        <f>+VLOOKUP(A195,cennik!$A:$G,2,FALSE)</f>
        <v>SEVROLL Gemini horné vedenie 6m oliva kartáč</v>
      </c>
      <c r="F195" s="52" t="str">
        <f>+VLOOKUP(A195,cennik!A:B,2,FALSE)</f>
        <v>SEVROLL Gemini horné vedenie 6m oliva kartáč</v>
      </c>
      <c r="H195" s="1">
        <v>6000</v>
      </c>
      <c r="I195" s="1" t="str">
        <f>CONCATENATE(H195,"-",$J$7)</f>
        <v>6000-oliva kartáčovaná</v>
      </c>
    </row>
    <row r="196" spans="1:9" ht="15" customHeight="1">
      <c r="A196" s="52">
        <f t="shared" si="22"/>
        <v>205162</v>
      </c>
      <c r="B196" s="52"/>
      <c r="C196" s="1" t="str">
        <f>CONCATENATE(H196,"-",$J$8)</f>
        <v>1700-kart. tm. oliva</v>
      </c>
      <c r="D196" s="53">
        <v>205162</v>
      </c>
      <c r="E196" s="52" t="str">
        <f>+VLOOKUP(A196,cennik!$A:$G,2,FALSE)</f>
        <v>SEVROLL Gemini horné vedenie 1,7m oliva tmav</v>
      </c>
      <c r="F196" s="52" t="str">
        <f>+VLOOKUP(A196,cennik!A:B,2,FALSE)</f>
        <v>SEVROLL Gemini horné vedenie 1,7m oliva tmav</v>
      </c>
      <c r="H196" s="1">
        <v>1700</v>
      </c>
      <c r="I196" s="1" t="str">
        <f>CONCATENATE(H196,"-",$J$8)</f>
        <v>1700-kart. tm. oliva</v>
      </c>
    </row>
    <row r="197" spans="1:9" ht="15" customHeight="1">
      <c r="A197" s="52">
        <f t="shared" si="22"/>
        <v>205164</v>
      </c>
      <c r="B197" s="52"/>
      <c r="C197" s="1" t="str">
        <f>CONCATENATE(H197,"-",$J$8)</f>
        <v>2350-kart. tm. oliva</v>
      </c>
      <c r="D197" s="53">
        <v>205164</v>
      </c>
      <c r="E197" s="52" t="str">
        <f>+VLOOKUP(A197,cennik!$A:$G,2,FALSE)</f>
        <v>SEVROLL Gemini horné vedenie 2,35m oliva tma</v>
      </c>
      <c r="F197" s="52" t="str">
        <f>+VLOOKUP(A197,cennik!A:B,2,FALSE)</f>
        <v>SEVROLL Gemini horné vedenie 2,35m oliva tma</v>
      </c>
      <c r="H197" s="1">
        <v>2350</v>
      </c>
      <c r="I197" s="1" t="str">
        <f>CONCATENATE(H197,"-",$J$8)</f>
        <v>2350-kart. tm. oliva</v>
      </c>
    </row>
    <row r="198" spans="1:9" ht="15" customHeight="1">
      <c r="A198" s="52">
        <f t="shared" si="22"/>
        <v>205166</v>
      </c>
      <c r="B198" s="52"/>
      <c r="C198" s="1" t="str">
        <f>CONCATENATE(H198,"-",$J$8)</f>
        <v>3000-kart. tm. oliva</v>
      </c>
      <c r="D198" s="53">
        <v>205166</v>
      </c>
      <c r="E198" s="52" t="str">
        <f>+VLOOKUP(A198,cennik!$A:$G,2,FALSE)</f>
        <v>SEVROLL Gemini horné vedenie 3m oliva tmavá</v>
      </c>
      <c r="F198" s="52" t="str">
        <f>+VLOOKUP(A198,cennik!A:B,2,FALSE)</f>
        <v>SEVROLL Gemini horné vedenie 3m oliva tmavá</v>
      </c>
      <c r="H198" s="1">
        <v>3000</v>
      </c>
      <c r="I198" s="1" t="str">
        <f>CONCATENATE(H198,"-",$J$8)</f>
        <v>3000-kart. tm. oliva</v>
      </c>
    </row>
    <row r="199" spans="1:9" ht="15" customHeight="1">
      <c r="A199" s="52">
        <f t="shared" si="22"/>
        <v>205168</v>
      </c>
      <c r="B199" s="52"/>
      <c r="C199" s="1" t="str">
        <f>CONCATENATE(H199,"-",$J$8)</f>
        <v>4050-kart. tm. oliva</v>
      </c>
      <c r="D199" s="53">
        <v>205168</v>
      </c>
      <c r="E199" s="52" t="str">
        <f>+VLOOKUP(A199,cennik!$A:$G,2,FALSE)</f>
        <v>SEVROLL Gemini horné vedenie 4,05m oliva tma</v>
      </c>
      <c r="F199" s="52" t="str">
        <f>+VLOOKUP(A199,cennik!A:B,2,FALSE)</f>
        <v>SEVROLL Gemini horné vedenie 4,05m oliva tma</v>
      </c>
      <c r="H199" s="1">
        <v>4050</v>
      </c>
      <c r="I199" s="1" t="str">
        <f>CONCATENATE(H199,"-",$J$8)</f>
        <v>4050-kart. tm. oliva</v>
      </c>
    </row>
    <row r="200" spans="1:9" ht="15" customHeight="1">
      <c r="A200" s="52">
        <f t="shared" si="22"/>
        <v>225371</v>
      </c>
      <c r="B200" s="52"/>
      <c r="C200" s="1" t="str">
        <f>CONCATENATE(H200,"-",$J$8)</f>
        <v>6000-kart. tm. oliva</v>
      </c>
      <c r="D200" s="53">
        <v>225371</v>
      </c>
      <c r="E200" s="52" t="str">
        <f>+VLOOKUP(A200,cennik!$A:$G,2,FALSE)</f>
        <v>SEVROLL Gemini horné vedenie 6m oliva tmavá</v>
      </c>
      <c r="F200" s="52" t="str">
        <f>+VLOOKUP(A200,cennik!A:B,2,FALSE)</f>
        <v>SEVROLL Gemini horné vedenie 6m oliva tmavá</v>
      </c>
      <c r="H200" s="1">
        <v>6000</v>
      </c>
      <c r="I200" s="1" t="str">
        <f>CONCATENATE(H200,"-",$J$8)</f>
        <v>6000-kart. tm. oliva</v>
      </c>
    </row>
    <row r="201" spans="1:9" ht="15" customHeight="1">
      <c r="A201" s="52">
        <f t="shared" si="22"/>
        <v>205163</v>
      </c>
      <c r="B201" s="52"/>
      <c r="C201" s="1" t="str">
        <f>CONCATENATE(H201,"-",$J$9)</f>
        <v>1700-kart. čierna</v>
      </c>
      <c r="D201" s="53">
        <v>205163</v>
      </c>
      <c r="E201" s="52" t="str">
        <f>+VLOOKUP(A201,cennik!$A:$G,2,FALSE)</f>
        <v>SEVROLL Gemini horné vedenie 1,7m čierna kar</v>
      </c>
      <c r="F201" s="52" t="str">
        <f>+VLOOKUP(A201,cennik!A:B,2,FALSE)</f>
        <v>SEVROLL Gemini horné vedenie 1,7m čierna kar</v>
      </c>
      <c r="H201" s="1">
        <v>1700</v>
      </c>
      <c r="I201" s="1" t="str">
        <f>CONCATENATE(H201,"-",$J$9)</f>
        <v>1700-kart. čierna</v>
      </c>
    </row>
    <row r="202" spans="1:9" ht="15" customHeight="1">
      <c r="A202" s="52">
        <f t="shared" si="22"/>
        <v>205165</v>
      </c>
      <c r="B202" s="52"/>
      <c r="C202" s="1" t="str">
        <f>CONCATENATE(H202,"-",$J$9)</f>
        <v>2350-kart. čierna</v>
      </c>
      <c r="D202" s="53">
        <v>205165</v>
      </c>
      <c r="E202" s="52" t="str">
        <f>+VLOOKUP(A202,cennik!$A:$G,2,FALSE)</f>
        <v>SEVROLL Gemini horné vedenie 2,35m čierna ka</v>
      </c>
      <c r="F202" s="52" t="str">
        <f>+VLOOKUP(A202,cennik!A:B,2,FALSE)</f>
        <v>SEVROLL Gemini horné vedenie 2,35m čierna ka</v>
      </c>
      <c r="H202" s="1">
        <v>2350</v>
      </c>
      <c r="I202" s="1" t="str">
        <f>CONCATENATE(H202,"-",$J$9)</f>
        <v>2350-kart. čierna</v>
      </c>
    </row>
    <row r="203" spans="1:9" ht="15" customHeight="1">
      <c r="A203" s="52">
        <f t="shared" si="22"/>
        <v>205167</v>
      </c>
      <c r="B203" s="52"/>
      <c r="C203" s="1" t="str">
        <f>CONCATENATE(H203,"-",$J$9)</f>
        <v>3000-kart. čierna</v>
      </c>
      <c r="D203" s="53">
        <v>205167</v>
      </c>
      <c r="E203" s="52" t="str">
        <f>+VLOOKUP(A203,cennik!$A:$G,2,FALSE)</f>
        <v>SEVROLL Gemini horné vedenie 3m čierna kartá</v>
      </c>
      <c r="F203" s="52" t="str">
        <f>+VLOOKUP(A203,cennik!A:B,2,FALSE)</f>
        <v>SEVROLL Gemini horné vedenie 3m čierna kartá</v>
      </c>
      <c r="H203" s="1">
        <v>3000</v>
      </c>
      <c r="I203" s="1" t="str">
        <f>CONCATENATE(H203,"-",$J$9)</f>
        <v>3000-kart. čierna</v>
      </c>
    </row>
    <row r="204" spans="1:9" ht="15" customHeight="1">
      <c r="A204" s="52">
        <f t="shared" si="22"/>
        <v>205169</v>
      </c>
      <c r="B204" s="52"/>
      <c r="C204" s="1" t="str">
        <f>CONCATENATE(H204,"-",$J$9)</f>
        <v>4050-kart. čierna</v>
      </c>
      <c r="D204" s="53">
        <v>205169</v>
      </c>
      <c r="E204" s="52" t="str">
        <f>+VLOOKUP(A204,cennik!$A:$G,2,FALSE)</f>
        <v>SEVROLL Gemini horné vedenie 4,05m čierna ka</v>
      </c>
      <c r="F204" s="52" t="str">
        <f>+VLOOKUP(A204,cennik!A:B,2,FALSE)</f>
        <v>SEVROLL Gemini horné vedenie 4,05m čierna ka</v>
      </c>
      <c r="H204" s="1">
        <v>4050</v>
      </c>
      <c r="I204" s="1" t="str">
        <f>CONCATENATE(H204,"-",$J$9)</f>
        <v>4050-kart. čierna</v>
      </c>
    </row>
    <row r="205" spans="1:9" ht="15" customHeight="1">
      <c r="A205" s="585">
        <v>225372</v>
      </c>
      <c r="B205" s="52"/>
      <c r="C205" s="1" t="str">
        <f>CONCATENATE(H205,"-",$J$9)</f>
        <v>6000-kart. čierna</v>
      </c>
      <c r="D205" s="585">
        <v>225372</v>
      </c>
      <c r="E205" s="52" t="str">
        <f>+VLOOKUP(A205,cennik!$A:$G,2,FALSE)</f>
        <v>SEVROLL Gemini horné vedenie 6m čierna kartá</v>
      </c>
      <c r="F205" s="52" t="str">
        <f>+VLOOKUP(A205,cennik!A:B,2,FALSE)</f>
        <v>SEVROLL Gemini horné vedenie 6m čierna kartá</v>
      </c>
      <c r="H205" s="1">
        <v>6000</v>
      </c>
      <c r="I205" s="1" t="str">
        <f>CONCATENATE(H205,"-",$J$9)</f>
        <v>6000-kart. čierna</v>
      </c>
    </row>
    <row r="206" spans="1:9" ht="15" customHeight="1">
      <c r="A206" s="52">
        <f t="shared" si="22"/>
        <v>276751</v>
      </c>
      <c r="B206" s="52"/>
      <c r="C206" s="1" t="str">
        <f>CONCATENATE(H206,"-",$J$15)</f>
        <v>1700-biela lesk</v>
      </c>
      <c r="D206" s="53">
        <v>276751</v>
      </c>
      <c r="E206" s="52" t="str">
        <f>+VLOOKUP(A206,cennik!$A:$G,2,FALSE)</f>
        <v>SEVROLL Gemini horné vedenie 1,7m biela lesk</v>
      </c>
      <c r="F206" s="52" t="str">
        <f>+VLOOKUP(A206,cennik!A:B,2,FALSE)</f>
        <v>SEVROLL Gemini horné vedenie 1,7m biela lesk</v>
      </c>
      <c r="H206" s="1">
        <v>1700</v>
      </c>
      <c r="I206" s="1" t="str">
        <f>CONCATENATE(H206,"-",$J$15)</f>
        <v>1700-biela lesk</v>
      </c>
    </row>
    <row r="207" spans="1:9" ht="15" customHeight="1">
      <c r="A207" s="52">
        <f t="shared" si="22"/>
        <v>267882</v>
      </c>
      <c r="B207" s="52"/>
      <c r="C207" s="1" t="str">
        <f>CONCATENATE(H207,"-",$J$15)</f>
        <v>2350-biela lesk</v>
      </c>
      <c r="D207" s="53">
        <v>267882</v>
      </c>
      <c r="E207" s="52" t="str">
        <f>+VLOOKUP(A207,cennik!$A:$G,2,FALSE)</f>
        <v>SEVROLL Gemini horné vedenie 2,35 biela lesk</v>
      </c>
      <c r="F207" s="52" t="str">
        <f>+VLOOKUP(A207,cennik!A:B,2,FALSE)</f>
        <v>SEVROLL Gemini horné vedenie 2,35 biela lesk</v>
      </c>
      <c r="H207" s="1">
        <v>2350</v>
      </c>
      <c r="I207" s="1" t="str">
        <f>CONCATENATE(H207,"-",$J$15)</f>
        <v>2350-biela lesk</v>
      </c>
    </row>
    <row r="208" spans="1:9" ht="15" customHeight="1">
      <c r="A208" s="52">
        <f t="shared" si="22"/>
        <v>252566</v>
      </c>
      <c r="B208" s="52"/>
      <c r="C208" s="1" t="str">
        <f>CONCATENATE(H208,"-",$J$15)</f>
        <v>3000-biela lesk</v>
      </c>
      <c r="D208" s="53">
        <v>252566</v>
      </c>
      <c r="E208" s="52" t="str">
        <f>+VLOOKUP(A208,cennik!$A:$G,2,FALSE)</f>
        <v>SEVROLL Gemini horné vedenie 3m biela lesk</v>
      </c>
      <c r="F208" s="52" t="str">
        <f>+VLOOKUP(A208,cennik!A:B,2,FALSE)</f>
        <v>SEVROLL Gemini horné vedenie 3m biela lesk</v>
      </c>
      <c r="H208" s="1">
        <v>3000</v>
      </c>
      <c r="I208" s="1" t="str">
        <f>CONCATENATE(H208,"-",$J$15)</f>
        <v>3000-biela lesk</v>
      </c>
    </row>
    <row r="209" spans="1:9" ht="15" customHeight="1">
      <c r="A209" s="52">
        <f t="shared" si="22"/>
        <v>276749</v>
      </c>
      <c r="B209" s="52"/>
      <c r="C209" s="1" t="str">
        <f>CONCATENATE(H209,"-",$J$15)</f>
        <v>4050-biela lesk</v>
      </c>
      <c r="D209" s="53">
        <v>276749</v>
      </c>
      <c r="E209" s="52" t="str">
        <f>+VLOOKUP(A209,cennik!$A:$G,2,FALSE)</f>
        <v>SEVROLL Gemini horné vedenie 4,05m biela les</v>
      </c>
      <c r="F209" s="52" t="str">
        <f>+VLOOKUP(A209,cennik!A:B,2,FALSE)</f>
        <v>SEVROLL Gemini horné vedenie 4,05m biela les</v>
      </c>
      <c r="H209" s="1">
        <v>4050</v>
      </c>
      <c r="I209" s="1" t="str">
        <f>CONCATENATE(H209,"-",$J$15)</f>
        <v>4050-biela lesk</v>
      </c>
    </row>
    <row r="210" spans="1:9" ht="15" customHeight="1">
      <c r="A210" s="52">
        <f t="shared" si="22"/>
        <v>311586</v>
      </c>
      <c r="B210" s="52"/>
      <c r="C210" s="1" t="str">
        <f>CONCATENATE(H210,"-",$J$15)</f>
        <v>6000-biela lesk</v>
      </c>
      <c r="D210" s="53">
        <v>311586</v>
      </c>
      <c r="E210" s="52" t="str">
        <f>+VLOOKUP(A210,cennik!$A:$G,2,FALSE)</f>
        <v>SEVROLL Gemini horné vedenie 6m biela lesk</v>
      </c>
      <c r="F210" s="52" t="str">
        <f>+VLOOKUP(A210,cennik!A:B,2,FALSE)</f>
        <v>SEVROLL Gemini horné vedenie 6m biela lesk</v>
      </c>
      <c r="H210" s="1">
        <v>6000</v>
      </c>
      <c r="I210" s="1" t="str">
        <f>CONCATENATE(H210,"-",$J$15)</f>
        <v>6000-biela lesk</v>
      </c>
    </row>
    <row r="211" spans="1:9" ht="15" customHeight="1">
      <c r="A211" s="1">
        <v>405407</v>
      </c>
      <c r="C211" s="1" t="str">
        <f>CONCATENATE(H211,"-",$J$16)</f>
        <v>1700-čierna lesk</v>
      </c>
      <c r="D211" s="2">
        <v>405407</v>
      </c>
      <c r="E211" s="52" t="str">
        <f>+VLOOKUP(A211,cennik!$A:$G,2,FALSE)</f>
        <v>SEVROLL Gemini horné vedenie 1,7m čierna lesk</v>
      </c>
      <c r="F211" s="52" t="str">
        <f>+VLOOKUP(A211,cennik!A:B,2,FALSE)</f>
        <v>SEVROLL Gemini horné vedenie 1,7m čierna lesk</v>
      </c>
      <c r="H211" s="1">
        <v>1700</v>
      </c>
      <c r="I211" s="1" t="str">
        <f>CONCATENATE(H211,"-",$J$16)</f>
        <v>1700-čierna lesk</v>
      </c>
    </row>
    <row r="212" spans="1:9" ht="15" customHeight="1">
      <c r="A212" s="1">
        <v>398096</v>
      </c>
      <c r="C212" s="1" t="str">
        <f>CONCATENATE(H212,"-",$J$16)</f>
        <v>2350-čierna lesk</v>
      </c>
      <c r="D212" s="2">
        <v>398096</v>
      </c>
      <c r="E212" s="52" t="str">
        <f>+VLOOKUP(A212,cennik!$A:$G,2,FALSE)</f>
        <v>SEVROLL Gemini horné vedenie 2,35 čierna lesk</v>
      </c>
      <c r="F212" s="52" t="str">
        <f>+VLOOKUP(A212,cennik!A:B,2,FALSE)</f>
        <v>SEVROLL Gemini horné vedenie 2,35 čierna lesk</v>
      </c>
      <c r="H212" s="1">
        <v>2350</v>
      </c>
      <c r="I212" s="1" t="str">
        <f>CONCATENATE(H212,"-",$J$16)</f>
        <v>2350-čierna lesk</v>
      </c>
    </row>
    <row r="213" spans="1:9" ht="15" customHeight="1">
      <c r="A213" s="1">
        <v>405423</v>
      </c>
      <c r="C213" s="1" t="str">
        <f>CONCATENATE(H213,"-",$J$16)</f>
        <v>3000-čierna lesk</v>
      </c>
      <c r="D213" s="2">
        <v>405423</v>
      </c>
      <c r="E213" s="52" t="str">
        <f>+VLOOKUP(A213,cennik!$A:$G,2,FALSE)</f>
        <v>SEVROLL Gemini horné vedenie 3m čierna lesk</v>
      </c>
      <c r="F213" s="52" t="str">
        <f>+VLOOKUP(A213,cennik!A:B,2,FALSE)</f>
        <v>SEVROLL Gemini horné vedenie 3m čierna lesk</v>
      </c>
      <c r="H213" s="1">
        <v>3000</v>
      </c>
      <c r="I213" s="1" t="str">
        <f>CONCATENATE(H213,"-",$J$16)</f>
        <v>3000-čierna lesk</v>
      </c>
    </row>
    <row r="214" spans="1:9" ht="15" customHeight="1">
      <c r="A214" s="1">
        <v>405425</v>
      </c>
      <c r="C214" s="1" t="str">
        <f>CONCATENATE(H214,"-",$J$16)</f>
        <v>4050-čierna lesk</v>
      </c>
      <c r="D214" s="2">
        <v>405425</v>
      </c>
      <c r="E214" s="52" t="str">
        <f>+VLOOKUP(A214,cennik!$A:$G,2,FALSE)</f>
        <v>SEVROLL Gemini horné vedenie 4,05m čierna lesk</v>
      </c>
      <c r="F214" s="52" t="str">
        <f>+VLOOKUP(A214,cennik!A:B,2,FALSE)</f>
        <v>SEVROLL Gemini horné vedenie 4,05m čierna lesk</v>
      </c>
      <c r="H214" s="1">
        <v>4050</v>
      </c>
      <c r="I214" s="1" t="str">
        <f>CONCATENATE(H214,"-",$J$16)</f>
        <v>4050-čierna lesk</v>
      </c>
    </row>
    <row r="215" spans="1:9" ht="15" customHeight="1">
      <c r="A215" s="1">
        <v>405426</v>
      </c>
      <c r="C215" s="1" t="str">
        <f>CONCATENATE(H215,"-",$J$16)</f>
        <v>6000-čierna lesk</v>
      </c>
      <c r="D215" s="2">
        <v>405426</v>
      </c>
      <c r="E215" s="52" t="str">
        <f>+VLOOKUP(A215,cennik!$A:$G,2,FALSE)</f>
        <v>SEVROLL Gemini horné vedenie 6m čierna lesk</v>
      </c>
      <c r="F215" s="52" t="str">
        <f>+VLOOKUP(A215,cennik!A:B,2,FALSE)</f>
        <v>SEVROLL Gemini horné vedenie 6m čierna lesk</v>
      </c>
      <c r="H215" s="1">
        <v>6000</v>
      </c>
      <c r="I215" s="1" t="str">
        <f>CONCATENATE(H215,"-",$J$16)</f>
        <v>6000-čierna lesk</v>
      </c>
    </row>
    <row r="216" spans="1:9" ht="15" customHeight="1">
      <c r="A216" s="1">
        <v>422008</v>
      </c>
      <c r="C216" s="1" t="str">
        <f>CONCATENATE(H216,"-",$J$17)</f>
        <v>1700-čierna mat</v>
      </c>
      <c r="D216" s="1">
        <v>422008</v>
      </c>
      <c r="E216" s="52" t="str">
        <f>+VLOOKUP(A216,cennik!$A:$G,2,FALSE)</f>
        <v>SEVROLL Gemini horné vedenie 1,7m čierna mat</v>
      </c>
      <c r="F216" s="52" t="str">
        <f>+VLOOKUP(A216,cennik!A:B,2,FALSE)</f>
        <v>SEVROLL Gemini horné vedenie 1,7m čierna mat</v>
      </c>
      <c r="H216" s="1">
        <v>1700</v>
      </c>
      <c r="I216" s="1" t="str">
        <f>CONCATENATE(H216,"-",$J$17)</f>
        <v>1700-čierna mat</v>
      </c>
    </row>
    <row r="217" spans="1:9" ht="15" customHeight="1">
      <c r="A217" s="1">
        <v>409670</v>
      </c>
      <c r="C217" s="1" t="str">
        <f>CONCATENATE(H217,"-",$J$17)</f>
        <v>2350-čierna mat</v>
      </c>
      <c r="D217" s="1">
        <v>409670</v>
      </c>
      <c r="E217" s="52" t="str">
        <f>+VLOOKUP(A217,cennik!$A:$G,2,FALSE)</f>
        <v>SEVROLL Gemini horné vedenie 2,35 čierna mat</v>
      </c>
      <c r="F217" s="52" t="str">
        <f>+VLOOKUP(A217,cennik!A:B,2,FALSE)</f>
        <v>SEVROLL Gemini horné vedenie 2,35 čierna mat</v>
      </c>
      <c r="H217" s="1">
        <v>2350</v>
      </c>
      <c r="I217" s="1" t="str">
        <f>CONCATENATE(H217,"-",$J$17)</f>
        <v>2350-čierna mat</v>
      </c>
    </row>
    <row r="218" spans="1:9" ht="15" customHeight="1">
      <c r="A218" s="1">
        <v>412229</v>
      </c>
      <c r="C218" s="1" t="str">
        <f>CONCATENATE(H218,"-",$J$17)</f>
        <v>3000-čierna mat</v>
      </c>
      <c r="D218" s="1">
        <v>412229</v>
      </c>
      <c r="E218" s="52" t="str">
        <f>+VLOOKUP(A218,cennik!$A:$G,2,FALSE)</f>
        <v>SEVROLL Gemini horné vedenie 3 čierna mat</v>
      </c>
      <c r="F218" s="52" t="str">
        <f>+VLOOKUP(A218,cennik!A:B,2,FALSE)</f>
        <v>SEVROLL Gemini horné vedenie 3 čierna mat</v>
      </c>
      <c r="H218" s="1">
        <v>3000</v>
      </c>
      <c r="I218" s="1" t="str">
        <f>CONCATENATE(H218,"-",$J$17)</f>
        <v>3000-čierna mat</v>
      </c>
    </row>
    <row r="219" spans="1:9" ht="15" customHeight="1">
      <c r="A219" s="1">
        <v>452736</v>
      </c>
      <c r="C219" s="1" t="str">
        <f>CONCATENATE(H219,"-",$J$17)</f>
        <v>6000-čierna mat</v>
      </c>
      <c r="D219" s="2">
        <v>452736</v>
      </c>
      <c r="E219" s="52" t="str">
        <f>+VLOOKUP(A219,cennik!$A:$G,2,FALSE)</f>
        <v>SEVROLL Gemini horné vedenie 6m čierna mat</v>
      </c>
      <c r="F219" s="52" t="str">
        <f>+VLOOKUP(A219,cennik!A:B,2,FALSE)</f>
        <v>SEVROLL Gemini horné vedenie 6m čierna mat</v>
      </c>
      <c r="H219" s="1">
        <v>6000</v>
      </c>
      <c r="I219" s="1" t="str">
        <f>CONCATENATE(H219,"-",$J$17)</f>
        <v>6000-čierna mat</v>
      </c>
    </row>
    <row r="220" spans="1:9" s="578" customFormat="1" ht="15" customHeight="1">
      <c r="A220" s="577">
        <v>233016</v>
      </c>
      <c r="C220" s="1" t="str">
        <f>CONCATENATE(H220,"-",$J$18)</f>
        <v>3000-biela mat</v>
      </c>
      <c r="D220" s="577">
        <v>233016</v>
      </c>
      <c r="E220" s="52" t="str">
        <f>+VLOOKUP(A220,cennik!$A:$G,2,FALSE)</f>
        <v>SEVROLL Gemini horné vedenie 3m biela mat</v>
      </c>
      <c r="F220" s="52" t="str">
        <f>+VLOOKUP(A220,cennik!A:B,2,FALSE)</f>
        <v>SEVROLL Gemini horné vedenie 3m biela mat</v>
      </c>
      <c r="H220" s="578">
        <v>3000</v>
      </c>
      <c r="I220" s="1" t="str">
        <f>CONCATENATE(H220,"-",$J$18)</f>
        <v>3000-biela mat</v>
      </c>
    </row>
    <row r="221" spans="1:9" s="578" customFormat="1" ht="15" customHeight="1">
      <c r="A221" s="577">
        <v>394802</v>
      </c>
      <c r="C221" s="1" t="str">
        <f t="shared" ref="C221:C224" si="23">CONCATENATE(H221,"-",$J$18)</f>
        <v>1700-biela mat</v>
      </c>
      <c r="D221" s="577">
        <v>394802</v>
      </c>
      <c r="E221" s="52" t="str">
        <f>+VLOOKUP(A221,cennik!$A:$G,2,FALSE)</f>
        <v>SEVROLL Gemini horné vedenie 1,7m biela mat</v>
      </c>
      <c r="F221" s="52" t="str">
        <f>+VLOOKUP(A221,cennik!A:B,2,FALSE)</f>
        <v>SEVROLL Gemini horné vedenie 1,7m biela mat</v>
      </c>
      <c r="H221" s="578">
        <v>1700</v>
      </c>
      <c r="I221" s="1" t="str">
        <f t="shared" ref="I221:I224" si="24">CONCATENATE(H221,"-",$J$18)</f>
        <v>1700-biela mat</v>
      </c>
    </row>
    <row r="222" spans="1:9" s="578" customFormat="1" ht="15" customHeight="1">
      <c r="A222" s="577">
        <v>394813</v>
      </c>
      <c r="C222" s="1" t="str">
        <f t="shared" si="23"/>
        <v>2350-biela mat</v>
      </c>
      <c r="D222" s="577">
        <v>394813</v>
      </c>
      <c r="E222" s="52" t="str">
        <f>+VLOOKUP(A222,cennik!$A:$G,2,FALSE)</f>
        <v>SEVROLL Gemini horné vedenie 2,35 biela mat</v>
      </c>
      <c r="F222" s="52" t="str">
        <f>+VLOOKUP(A222,cennik!A:B,2,FALSE)</f>
        <v>SEVROLL Gemini horné vedenie 2,35 biela mat</v>
      </c>
      <c r="H222" s="578">
        <v>2350</v>
      </c>
      <c r="I222" s="1" t="str">
        <f t="shared" si="24"/>
        <v>2350-biela mat</v>
      </c>
    </row>
    <row r="223" spans="1:9" s="578" customFormat="1" ht="15" customHeight="1">
      <c r="A223" s="577">
        <v>394815</v>
      </c>
      <c r="C223" s="1" t="str">
        <f t="shared" si="23"/>
        <v>4050-biela mat</v>
      </c>
      <c r="D223" s="577">
        <v>394815</v>
      </c>
      <c r="E223" s="52" t="str">
        <f>+VLOOKUP(A223,cennik!$A:$G,2,FALSE)</f>
        <v>SEVROLL Gemini horné vedenie 4,05m biela mat</v>
      </c>
      <c r="F223" s="52" t="str">
        <f>+VLOOKUP(A223,cennik!A:B,2,FALSE)</f>
        <v>SEVROLL Gemini horné vedenie 4,05m biela mat</v>
      </c>
      <c r="H223" s="578">
        <v>4050</v>
      </c>
      <c r="I223" s="1" t="str">
        <f t="shared" si="24"/>
        <v>4050-biela mat</v>
      </c>
    </row>
    <row r="224" spans="1:9" s="578" customFormat="1" ht="15" customHeight="1">
      <c r="A224" s="577">
        <v>394824</v>
      </c>
      <c r="C224" s="1" t="str">
        <f t="shared" si="23"/>
        <v>6000-biela mat</v>
      </c>
      <c r="D224" s="577">
        <v>394824</v>
      </c>
      <c r="E224" s="52" t="str">
        <f>+VLOOKUP(A224,cennik!$A:$G,2,FALSE)</f>
        <v>SEVROLL Gemini horné vedenie 6m biela mat</v>
      </c>
      <c r="F224" s="52" t="str">
        <f>+VLOOKUP(A224,cennik!A:B,2,FALSE)</f>
        <v>SEVROLL Gemini horné vedenie 6m biela mat</v>
      </c>
      <c r="H224" s="578">
        <v>6000</v>
      </c>
      <c r="I224" s="1" t="str">
        <f t="shared" si="24"/>
        <v>6000-biela mat</v>
      </c>
    </row>
    <row r="225" spans="1:9" ht="15" customHeight="1">
      <c r="A225" s="52"/>
      <c r="B225" s="181" t="s">
        <v>2696</v>
      </c>
      <c r="E225" s="52"/>
      <c r="F225" s="52"/>
    </row>
    <row r="226" spans="1:9" ht="15" customHeight="1">
      <c r="A226" s="52">
        <f t="shared" ref="A226:A240" si="25">+D226</f>
        <v>349796</v>
      </c>
      <c r="B226" s="52"/>
      <c r="C226" s="1" t="str">
        <f>CONCATENATE(H226,"-",$J$4)</f>
        <v xml:space="preserve">1500-strieborná </v>
      </c>
      <c r="D226" s="53">
        <v>349796</v>
      </c>
      <c r="E226" s="52" t="str">
        <f>+VLOOKUP(A226,cennik!$A:$G,2,FALSE)</f>
        <v/>
      </c>
      <c r="F226" s="52" t="str">
        <f>+VLOOKUP(A226,cennik!A:B,2,FALSE)</f>
        <v/>
      </c>
      <c r="H226" s="1">
        <v>1500</v>
      </c>
      <c r="I226" s="1" t="str">
        <f>CONCATENATE(H226,"-",$J$4)</f>
        <v xml:space="preserve">1500-strieborná </v>
      </c>
    </row>
    <row r="227" spans="1:9" ht="15" customHeight="1">
      <c r="A227" s="52">
        <f t="shared" si="25"/>
        <v>349475</v>
      </c>
      <c r="B227" s="52"/>
      <c r="C227" s="1" t="str">
        <f>CONCATENATE(H227,"-",$J$4)</f>
        <v xml:space="preserve">2000-strieborná </v>
      </c>
      <c r="D227" s="53">
        <v>349475</v>
      </c>
      <c r="E227" s="52" t="str">
        <f>+VLOOKUP(A227,cennik!$A:$G,2,FALSE)</f>
        <v>SEVROLL Blue horné vedenie 2m strieborná</v>
      </c>
      <c r="F227" s="52" t="str">
        <f>+VLOOKUP(A227,cennik!A:B,2,FALSE)</f>
        <v>SEVROLL Blue horné vedenie 2m strieborná</v>
      </c>
      <c r="G227" s="1" t="e">
        <f>+VLOOKUP(A227,#REF!,4,FALSE)</f>
        <v>#REF!</v>
      </c>
      <c r="H227" s="1">
        <v>2000</v>
      </c>
      <c r="I227" s="1" t="str">
        <f>CONCATENATE(H227,"-",$J$4)</f>
        <v xml:space="preserve">2000-strieborná </v>
      </c>
    </row>
    <row r="228" spans="1:9" ht="15" customHeight="1">
      <c r="A228" s="52">
        <f t="shared" si="25"/>
        <v>349802</v>
      </c>
      <c r="B228" s="52"/>
      <c r="C228" s="1" t="str">
        <f>CONCATENATE(H228,"-",$J$4)</f>
        <v xml:space="preserve">3000-strieborná </v>
      </c>
      <c r="D228" s="53">
        <v>349802</v>
      </c>
      <c r="E228" s="52" t="str">
        <f>+VLOOKUP(A228,cennik!$A:$G,2,FALSE)</f>
        <v>SEVROLL Blue horné vedenie 3m strieborná</v>
      </c>
      <c r="F228" s="52" t="str">
        <f>+VLOOKUP(A228,cennik!A:B,2,FALSE)</f>
        <v>SEVROLL Blue horné vedenie 3m strieborná</v>
      </c>
      <c r="H228" s="1">
        <v>3000</v>
      </c>
      <c r="I228" s="1" t="str">
        <f>CONCATENATE(H228,"-",$J$4)</f>
        <v xml:space="preserve">3000-strieborná </v>
      </c>
    </row>
    <row r="229" spans="1:9" ht="15" customHeight="1">
      <c r="A229" s="52">
        <f t="shared" si="25"/>
        <v>349804</v>
      </c>
      <c r="B229" s="52"/>
      <c r="C229" s="1" t="str">
        <f>CONCATENATE(H229,"-",$J$4)</f>
        <v xml:space="preserve">4000-strieborná </v>
      </c>
      <c r="D229" s="53">
        <v>349804</v>
      </c>
      <c r="E229" s="52" t="str">
        <f>+VLOOKUP(A229,cennik!$A:$G,2,FALSE)</f>
        <v>SEVROLL Blue horné vedenie 4m strieborná</v>
      </c>
      <c r="F229" s="52" t="str">
        <f>+VLOOKUP(A229,cennik!A:B,2,FALSE)</f>
        <v>SEVROLL Blue horné vedenie 4m strieborná</v>
      </c>
      <c r="H229" s="1">
        <v>4000</v>
      </c>
      <c r="I229" s="1" t="str">
        <f>CONCATENATE(H229,"-",$J$4)</f>
        <v xml:space="preserve">4000-strieborná </v>
      </c>
    </row>
    <row r="230" spans="1:9" ht="15" customHeight="1">
      <c r="A230" s="52">
        <f t="shared" si="25"/>
        <v>349807</v>
      </c>
      <c r="B230" s="52"/>
      <c r="C230" s="1" t="str">
        <f>CONCATENATE(H230,"-",$J$4)</f>
        <v xml:space="preserve">6000-strieborná </v>
      </c>
      <c r="D230" s="53">
        <v>349807</v>
      </c>
      <c r="E230" s="52" t="str">
        <f>+VLOOKUP(A230,cennik!$A:$G,2,FALSE)</f>
        <v/>
      </c>
      <c r="F230" s="52" t="str">
        <f>+VLOOKUP(A230,cennik!A:B,2,FALSE)</f>
        <v/>
      </c>
      <c r="H230" s="1">
        <v>6000</v>
      </c>
      <c r="I230" s="1" t="str">
        <f>CONCATENATE(H230,"-",$J$4)</f>
        <v xml:space="preserve">6000-strieborná </v>
      </c>
    </row>
    <row r="231" spans="1:9" ht="15" customHeight="1">
      <c r="A231" s="52">
        <f t="shared" si="25"/>
        <v>349797</v>
      </c>
      <c r="B231" s="52"/>
      <c r="C231" s="1" t="str">
        <f>CONCATENATE(H231,"-",$J$6)</f>
        <v>1500-oliva</v>
      </c>
      <c r="D231" s="53">
        <v>349797</v>
      </c>
      <c r="E231" s="52" t="str">
        <f>+VLOOKUP(A231,cennik!$A:$G,2,FALSE)</f>
        <v/>
      </c>
      <c r="F231" s="52" t="str">
        <f>+VLOOKUP(A231,cennik!A:B,2,FALSE)</f>
        <v/>
      </c>
      <c r="H231" s="1">
        <v>1500</v>
      </c>
      <c r="I231" s="1" t="str">
        <f>CONCATENATE(H231,"-",$J$6)</f>
        <v>1500-oliva</v>
      </c>
    </row>
    <row r="232" spans="1:9" ht="15" customHeight="1">
      <c r="A232" s="52">
        <f t="shared" si="25"/>
        <v>349798</v>
      </c>
      <c r="B232" s="52"/>
      <c r="C232" s="1" t="str">
        <f>CONCATENATE(H232,"-",$J$6)</f>
        <v>2000-oliva</v>
      </c>
      <c r="D232" s="53">
        <v>349798</v>
      </c>
      <c r="E232" s="52" t="str">
        <f>+VLOOKUP(A232,cennik!$A:$G,2,FALSE)</f>
        <v>SEVROLL Blue horné vedenie 2m oliva</v>
      </c>
      <c r="F232" s="52" t="str">
        <f>+VLOOKUP(A232,cennik!A:B,2,FALSE)</f>
        <v>SEVROLL Blue horné vedenie 2m oliva</v>
      </c>
      <c r="H232" s="1">
        <v>2000</v>
      </c>
      <c r="I232" s="1" t="str">
        <f>CONCATENATE(H232,"-",$J$6)</f>
        <v>2000-oliva</v>
      </c>
    </row>
    <row r="233" spans="1:9" ht="15" customHeight="1">
      <c r="A233" s="52">
        <f t="shared" si="25"/>
        <v>349801</v>
      </c>
      <c r="B233" s="52"/>
      <c r="C233" s="1" t="str">
        <f>CONCATENATE(H233,"-",$J$6)</f>
        <v>3000-oliva</v>
      </c>
      <c r="D233" s="53">
        <v>349801</v>
      </c>
      <c r="E233" s="52" t="str">
        <f>+VLOOKUP(A233,cennik!$A:$G,2,FALSE)</f>
        <v>SEVROLL Blue horné vedenie 3m oliva</v>
      </c>
      <c r="F233" s="52" t="str">
        <f>+VLOOKUP(A233,cennik!A:B,2,FALSE)</f>
        <v>SEVROLL Blue horné vedenie 3m oliva</v>
      </c>
      <c r="H233" s="1">
        <v>3000</v>
      </c>
      <c r="I233" s="1" t="str">
        <f>CONCATENATE(H233,"-",$J$6)</f>
        <v>3000-oliva</v>
      </c>
    </row>
    <row r="234" spans="1:9" ht="15" customHeight="1">
      <c r="A234" s="575">
        <v>394287</v>
      </c>
      <c r="B234" s="575"/>
      <c r="C234" s="575" t="str">
        <f>CONCATENATE(H234,"-",$J$15)</f>
        <v>1500-biela lesk</v>
      </c>
      <c r="D234" s="575">
        <v>394287</v>
      </c>
      <c r="E234" s="573" t="str">
        <f>+VLOOKUP(A234,cennik!$A:$G,2,FALSE)</f>
        <v/>
      </c>
      <c r="F234" s="573" t="str">
        <f>+VLOOKUP(A234,cennik!A:B,2,FALSE)</f>
        <v/>
      </c>
      <c r="G234" s="575"/>
      <c r="H234" s="575">
        <v>1500</v>
      </c>
      <c r="I234" s="575" t="str">
        <f t="shared" ref="I234:I237" si="26">CONCATENATE(H234,"-",$J$15)</f>
        <v>1500-biela lesk</v>
      </c>
    </row>
    <row r="235" spans="1:9" ht="15" customHeight="1">
      <c r="A235" s="575">
        <v>394287</v>
      </c>
      <c r="B235" s="575"/>
      <c r="C235" s="575" t="str">
        <f>CONCATENATE(H235,"-",$J$15)</f>
        <v>2000-biela lesk</v>
      </c>
      <c r="D235" s="575">
        <v>394287</v>
      </c>
      <c r="E235" s="573" t="str">
        <f>+VLOOKUP(A235,cennik!$A:$G,2,FALSE)</f>
        <v/>
      </c>
      <c r="F235" s="573" t="str">
        <f>+VLOOKUP(A235,cennik!A:B,2,FALSE)</f>
        <v/>
      </c>
      <c r="G235" s="575"/>
      <c r="H235" s="575">
        <v>2000</v>
      </c>
      <c r="I235" s="575" t="str">
        <f t="shared" si="26"/>
        <v>2000-biela lesk</v>
      </c>
    </row>
    <row r="236" spans="1:9" ht="15" customHeight="1">
      <c r="A236" s="575">
        <v>394289</v>
      </c>
      <c r="B236" s="575"/>
      <c r="C236" s="575" t="str">
        <f t="shared" ref="C236:C237" si="27">CONCATENATE(H236,"-",$J$15)</f>
        <v>3000-biela lesk</v>
      </c>
      <c r="D236" s="575">
        <v>394289</v>
      </c>
      <c r="E236" s="573" t="str">
        <f>+VLOOKUP(A236,cennik!$A:$G,2,FALSE)</f>
        <v>SEVROLL Blue horné vedenie 3m biela lesk</v>
      </c>
      <c r="F236" s="573" t="str">
        <f>+VLOOKUP(A236,cennik!A:B,2,FALSE)</f>
        <v>SEVROLL Blue horné vedenie 3m biela lesk</v>
      </c>
      <c r="G236" s="575"/>
      <c r="H236" s="575">
        <v>3000</v>
      </c>
      <c r="I236" s="575" t="str">
        <f t="shared" si="26"/>
        <v>3000-biela lesk</v>
      </c>
    </row>
    <row r="237" spans="1:9" ht="15" customHeight="1">
      <c r="A237" s="575">
        <v>394290</v>
      </c>
      <c r="B237" s="575"/>
      <c r="C237" s="575" t="str">
        <f t="shared" si="27"/>
        <v>6000-biela lesk</v>
      </c>
      <c r="D237" s="575">
        <v>394290</v>
      </c>
      <c r="E237" s="573" t="str">
        <f>+VLOOKUP(A237,cennik!$A:$G,2,FALSE)</f>
        <v/>
      </c>
      <c r="F237" s="573" t="str">
        <f>+VLOOKUP(A237,cennik!A:B,2,FALSE)</f>
        <v/>
      </c>
      <c r="G237" s="575"/>
      <c r="H237" s="575">
        <v>6000</v>
      </c>
      <c r="I237" s="575" t="str">
        <f t="shared" si="26"/>
        <v>6000-biela lesk</v>
      </c>
    </row>
    <row r="238" spans="1:9" ht="15" customHeight="1">
      <c r="A238" s="52">
        <f t="shared" si="25"/>
        <v>349805</v>
      </c>
      <c r="B238" s="52"/>
      <c r="C238" s="1" t="str">
        <f>CONCATENATE(H238,"-",$J$6)</f>
        <v>4000-oliva</v>
      </c>
      <c r="D238" s="53">
        <v>349805</v>
      </c>
      <c r="E238" s="52" t="str">
        <f>+VLOOKUP(A238,cennik!$A:$G,2,FALSE)</f>
        <v>SEVROLL Blue horné vedenie 4m oliva</v>
      </c>
      <c r="F238" s="52" t="str">
        <f>+VLOOKUP(A238,cennik!A:B,2,FALSE)</f>
        <v>SEVROLL Blue horné vedenie 4m oliva</v>
      </c>
      <c r="H238" s="1">
        <v>4000</v>
      </c>
      <c r="I238" s="1" t="str">
        <f>CONCATENATE(H238,"-",$J$6)</f>
        <v>4000-oliva</v>
      </c>
    </row>
    <row r="239" spans="1:9" ht="15" customHeight="1">
      <c r="A239" s="52">
        <f t="shared" si="25"/>
        <v>349806</v>
      </c>
      <c r="B239" s="52"/>
      <c r="C239" s="1" t="str">
        <f>CONCATENATE(H239,"-",$J$6)</f>
        <v>6000-oliva</v>
      </c>
      <c r="D239" s="53">
        <v>349806</v>
      </c>
      <c r="E239" s="52" t="str">
        <f>+VLOOKUP(A239,cennik!$A:$G,2,FALSE)</f>
        <v/>
      </c>
      <c r="F239" s="52" t="str">
        <f>+VLOOKUP(A239,cennik!A:B,2,FALSE)</f>
        <v/>
      </c>
      <c r="H239" s="1">
        <v>6000</v>
      </c>
      <c r="I239" s="1" t="str">
        <f>CONCATENATE(H239,"-",$J$6)</f>
        <v>6000-oliva</v>
      </c>
    </row>
    <row r="240" spans="1:9" ht="15" customHeight="1">
      <c r="A240" s="52">
        <f t="shared" si="25"/>
        <v>0</v>
      </c>
      <c r="B240" s="52"/>
      <c r="D240" s="53"/>
      <c r="E240" s="52"/>
      <c r="F240" s="52"/>
    </row>
    <row r="241" spans="1:9" ht="15" customHeight="1">
      <c r="A241" s="52"/>
      <c r="B241" s="181" t="s">
        <v>2697</v>
      </c>
      <c r="E241" s="52"/>
      <c r="F241" s="52"/>
      <c r="H241" s="1">
        <v>6000</v>
      </c>
    </row>
    <row r="242" spans="1:9" ht="15" customHeight="1">
      <c r="A242" s="52">
        <f>+D242</f>
        <v>349810</v>
      </c>
      <c r="B242" s="52"/>
      <c r="C242" s="1" t="str">
        <f>CONCATENATE(H242,"-",$J$4)</f>
        <v xml:space="preserve">1500-strieborná </v>
      </c>
      <c r="D242" s="53">
        <v>349810</v>
      </c>
      <c r="E242" s="52" t="str">
        <f>+VLOOKUP(A242,cennik!$A:$G,2,FALSE)</f>
        <v/>
      </c>
      <c r="F242" s="52" t="str">
        <f>+VLOOKUP(A242,cennik!A:B,2,FALSE)</f>
        <v/>
      </c>
      <c r="H242" s="1">
        <v>1500</v>
      </c>
      <c r="I242" s="1" t="str">
        <f>CONCATENATE(H242,"-",$J$4)</f>
        <v xml:space="preserve">1500-strieborná </v>
      </c>
    </row>
    <row r="243" spans="1:9" ht="15" customHeight="1">
      <c r="A243" s="52">
        <f>+D243</f>
        <v>349476</v>
      </c>
      <c r="B243" s="52"/>
      <c r="C243" s="1" t="str">
        <f>CONCATENATE(H243,"-",$J$4)</f>
        <v xml:space="preserve">2000-strieborná </v>
      </c>
      <c r="D243" s="53">
        <v>349476</v>
      </c>
      <c r="E243" s="52" t="str">
        <f>+VLOOKUP(A243,cennik!$A:$G,2,FALSE)</f>
        <v>SEVROLL Blue-V spodné vedenie 2m strieborná</v>
      </c>
      <c r="F243" s="52" t="str">
        <f>+VLOOKUP(A243,cennik!A:B,2,FALSE)</f>
        <v>SEVROLL Blue-V spodné vedenie 2m strieborná</v>
      </c>
      <c r="G243" s="1" t="e">
        <f>+VLOOKUP(A243,#REF!,4,FALSE)</f>
        <v>#REF!</v>
      </c>
      <c r="H243" s="1">
        <v>2000</v>
      </c>
      <c r="I243" s="1" t="str">
        <f>CONCATENATE(H243,"-",$J$4)</f>
        <v xml:space="preserve">2000-strieborná </v>
      </c>
    </row>
    <row r="244" spans="1:9" ht="15" customHeight="1">
      <c r="A244" s="52">
        <f>+D244</f>
        <v>349814</v>
      </c>
      <c r="B244" s="52"/>
      <c r="C244" s="1" t="str">
        <f>CONCATENATE(H244,"-",$J$4)</f>
        <v xml:space="preserve">3000-strieborná </v>
      </c>
      <c r="D244" s="53">
        <v>349814</v>
      </c>
      <c r="E244" s="52" t="str">
        <f>+VLOOKUP(A244,cennik!$A:$G,2,FALSE)</f>
        <v>SEVROLL Blue-V spodné vedenie 3m strieborná</v>
      </c>
      <c r="F244" s="52" t="str">
        <f>+VLOOKUP(A244,cennik!A:B,2,FALSE)</f>
        <v>SEVROLL Blue-V spodné vedenie 3m strieborná</v>
      </c>
      <c r="H244" s="1">
        <v>3000</v>
      </c>
      <c r="I244" s="1" t="str">
        <f>CONCATENATE(H244,"-",$J$4)</f>
        <v xml:space="preserve">3000-strieborná </v>
      </c>
    </row>
    <row r="245" spans="1:9" ht="15" customHeight="1">
      <c r="A245" s="52">
        <f t="shared" ref="A245:A255" si="28">+D245</f>
        <v>349819</v>
      </c>
      <c r="B245" s="52"/>
      <c r="C245" s="1" t="str">
        <f>CONCATENATE(H245,"-",$J$4)</f>
        <v xml:space="preserve">4000-strieborná </v>
      </c>
      <c r="D245" s="53">
        <v>349819</v>
      </c>
      <c r="E245" s="52" t="str">
        <f>+VLOOKUP(A245,cennik!$A:$G,2,FALSE)</f>
        <v>SEVROLL Blue-V spodné vedenie 4m strieborná</v>
      </c>
      <c r="F245" s="52" t="str">
        <f>+VLOOKUP(A245,cennik!A:B,2,FALSE)</f>
        <v>SEVROLL Blue-V spodné vedenie 4m strieborná</v>
      </c>
      <c r="H245" s="1">
        <v>4000</v>
      </c>
      <c r="I245" s="1" t="str">
        <f>CONCATENATE(H245,"-",$J$4)</f>
        <v xml:space="preserve">4000-strieborná </v>
      </c>
    </row>
    <row r="246" spans="1:9" ht="15" customHeight="1">
      <c r="A246" s="52">
        <f t="shared" si="28"/>
        <v>349818</v>
      </c>
      <c r="B246" s="52"/>
      <c r="C246" s="1" t="str">
        <f>CONCATENATE(H246,"-",$J$4)</f>
        <v xml:space="preserve">6000-strieborná </v>
      </c>
      <c r="D246" s="53">
        <v>349818</v>
      </c>
      <c r="E246" s="52" t="str">
        <f>+VLOOKUP(A246,cennik!$A:$G,2,FALSE)</f>
        <v/>
      </c>
      <c r="F246" s="52" t="str">
        <f>+VLOOKUP(A246,cennik!A:B,2,FALSE)</f>
        <v/>
      </c>
      <c r="H246" s="1">
        <v>6000</v>
      </c>
      <c r="I246" s="1" t="str">
        <f>CONCATENATE(H246,"-",$J$4)</f>
        <v xml:space="preserve">6000-strieborná </v>
      </c>
    </row>
    <row r="247" spans="1:9" ht="15" customHeight="1">
      <c r="A247" s="575">
        <v>394283</v>
      </c>
      <c r="B247" s="575"/>
      <c r="C247" s="575" t="str">
        <f>CONCATENATE(H247,"-",$J$15)</f>
        <v>2000-biela lesk</v>
      </c>
      <c r="D247" s="575">
        <v>394283</v>
      </c>
      <c r="E247" s="573" t="str">
        <f>+VLOOKUP(A247,cennik!$A:$G,2,FALSE)</f>
        <v>SEVROLL Blue-V spodné vedenie 2m biela lesk</v>
      </c>
      <c r="F247" s="573" t="str">
        <f>+VLOOKUP(A247,cennik!A:B,2,FALSE)</f>
        <v>SEVROLL Blue-V spodné vedenie 2m biela lesk</v>
      </c>
      <c r="G247" s="575"/>
      <c r="H247" s="575">
        <v>2000</v>
      </c>
      <c r="I247" s="575" t="str">
        <f t="shared" ref="I247:I250" si="29">CONCATENATE(H247,"-",$J$15)</f>
        <v>2000-biela lesk</v>
      </c>
    </row>
    <row r="248" spans="1:9" ht="15" customHeight="1">
      <c r="A248" s="575">
        <v>394284</v>
      </c>
      <c r="B248" s="575"/>
      <c r="C248" s="575" t="str">
        <f t="shared" ref="C248:C250" si="30">CONCATENATE(H248,"-",$J$15)</f>
        <v>3000-biela lesk</v>
      </c>
      <c r="D248" s="575">
        <v>394284</v>
      </c>
      <c r="E248" s="573" t="str">
        <f>+VLOOKUP(A248,cennik!$A:$G,2,FALSE)</f>
        <v>SEVROLL Blue-V spodné vedenie 3m biela lesk</v>
      </c>
      <c r="F248" s="573" t="str">
        <f>+VLOOKUP(A248,cennik!A:B,2,FALSE)</f>
        <v>SEVROLL Blue-V spodné vedenie 3m biela lesk</v>
      </c>
      <c r="G248" s="575"/>
      <c r="H248" s="575">
        <v>3000</v>
      </c>
      <c r="I248" s="575" t="str">
        <f t="shared" si="29"/>
        <v>3000-biela lesk</v>
      </c>
    </row>
    <row r="249" spans="1:9" ht="15" customHeight="1">
      <c r="A249" s="575">
        <v>394285</v>
      </c>
      <c r="B249" s="575"/>
      <c r="C249" s="575" t="str">
        <f t="shared" si="30"/>
        <v>6000-biela lesk</v>
      </c>
      <c r="D249" s="575">
        <v>394285</v>
      </c>
      <c r="E249" s="573" t="str">
        <f>+VLOOKUP(A249,cennik!$A:$G,2,FALSE)</f>
        <v/>
      </c>
      <c r="F249" s="573" t="str">
        <f>+VLOOKUP(A249,cennik!A:B,2,FALSE)</f>
        <v/>
      </c>
      <c r="G249" s="575"/>
      <c r="H249" s="575">
        <v>6000</v>
      </c>
      <c r="I249" s="575" t="str">
        <f t="shared" si="29"/>
        <v>6000-biela lesk</v>
      </c>
    </row>
    <row r="250" spans="1:9" ht="15" customHeight="1">
      <c r="A250" s="575">
        <v>394283</v>
      </c>
      <c r="B250" s="575"/>
      <c r="C250" s="575" t="str">
        <f t="shared" si="30"/>
        <v>1500-biela lesk</v>
      </c>
      <c r="D250" s="575">
        <v>394283</v>
      </c>
      <c r="E250" s="573" t="str">
        <f>+VLOOKUP(A250,cennik!$A:$G,2,FALSE)</f>
        <v>SEVROLL Blue-V spodné vedenie 2m biela lesk</v>
      </c>
      <c r="F250" s="573" t="str">
        <f>+VLOOKUP(A250,cennik!A:B,2,FALSE)</f>
        <v>SEVROLL Blue-V spodné vedenie 2m biela lesk</v>
      </c>
      <c r="G250" s="575"/>
      <c r="H250" s="575">
        <v>1500</v>
      </c>
      <c r="I250" s="575" t="str">
        <f t="shared" si="29"/>
        <v>1500-biela lesk</v>
      </c>
    </row>
    <row r="251" spans="1:9" ht="15" customHeight="1">
      <c r="A251" s="52">
        <f t="shared" si="28"/>
        <v>349812</v>
      </c>
      <c r="B251" s="52"/>
      <c r="C251" s="1" t="str">
        <f>CONCATENATE(H251,"-",$J$6)</f>
        <v>1500-oliva</v>
      </c>
      <c r="D251" s="53">
        <v>349812</v>
      </c>
      <c r="E251" s="52" t="str">
        <f>+VLOOKUP(A251,cennik!$A:$G,2,FALSE)</f>
        <v/>
      </c>
      <c r="F251" s="52" t="str">
        <f>+VLOOKUP(A251,cennik!A:B,2,FALSE)</f>
        <v/>
      </c>
      <c r="H251" s="1">
        <v>1500</v>
      </c>
      <c r="I251" s="1" t="str">
        <f>CONCATENATE(H251,"-",$J$6)</f>
        <v>1500-oliva</v>
      </c>
    </row>
    <row r="252" spans="1:9" ht="15" customHeight="1">
      <c r="A252" s="52">
        <f t="shared" si="28"/>
        <v>349809</v>
      </c>
      <c r="B252" s="52"/>
      <c r="C252" s="1" t="str">
        <f>CONCATENATE(H252,"-",$J$6)</f>
        <v>2000-oliva</v>
      </c>
      <c r="D252" s="53">
        <v>349809</v>
      </c>
      <c r="E252" s="52" t="str">
        <f>+VLOOKUP(A252,cennik!$A:$G,2,FALSE)</f>
        <v>SEVROLL Blue-V spodné vedenie 2m oliva</v>
      </c>
      <c r="F252" s="52" t="str">
        <f>+VLOOKUP(A252,cennik!A:B,2,FALSE)</f>
        <v>SEVROLL Blue-V spodné vedenie 2m oliva</v>
      </c>
      <c r="H252" s="1">
        <v>2000</v>
      </c>
      <c r="I252" s="1" t="str">
        <f>CONCATENATE(H252,"-",$J$6)</f>
        <v>2000-oliva</v>
      </c>
    </row>
    <row r="253" spans="1:9" ht="15" customHeight="1">
      <c r="A253" s="52">
        <f t="shared" si="28"/>
        <v>349815</v>
      </c>
      <c r="B253" s="52"/>
      <c r="C253" s="1" t="str">
        <f>CONCATENATE(H253,"-",$J$6)</f>
        <v>3000-oliva</v>
      </c>
      <c r="D253" s="53">
        <v>349815</v>
      </c>
      <c r="E253" s="52" t="str">
        <f>+VLOOKUP(A253,cennik!$A:$G,2,FALSE)</f>
        <v>SEVROLL Blue-V spodné vedenie 3m oliva</v>
      </c>
      <c r="F253" s="52" t="str">
        <f>+VLOOKUP(A253,cennik!A:B,2,FALSE)</f>
        <v>SEVROLL Blue-V spodné vedenie 3m oliva</v>
      </c>
      <c r="H253" s="1">
        <v>3000</v>
      </c>
      <c r="I253" s="1" t="str">
        <f>CONCATENATE(H253,"-",$J$6)</f>
        <v>3000-oliva</v>
      </c>
    </row>
    <row r="254" spans="1:9" ht="15" customHeight="1">
      <c r="A254" s="52">
        <f t="shared" si="28"/>
        <v>349816</v>
      </c>
      <c r="B254" s="52"/>
      <c r="C254" s="1" t="str">
        <f>CONCATENATE(H254,"-",$J$6)</f>
        <v>4000-oliva</v>
      </c>
      <c r="D254" s="53">
        <v>349816</v>
      </c>
      <c r="E254" s="52" t="str">
        <f>+VLOOKUP(A254,cennik!$A:$G,2,FALSE)</f>
        <v>SEVROLL Blue-V spodné vedenie 4m oliva</v>
      </c>
      <c r="F254" s="52" t="str">
        <f>+VLOOKUP(A254,cennik!A:B,2,FALSE)</f>
        <v>SEVROLL Blue-V spodné vedenie 4m oliva</v>
      </c>
      <c r="H254" s="1">
        <v>4000</v>
      </c>
      <c r="I254" s="1" t="str">
        <f>CONCATENATE(H254,"-",$J$6)</f>
        <v>4000-oliva</v>
      </c>
    </row>
    <row r="255" spans="1:9" ht="15" customHeight="1">
      <c r="A255" s="52">
        <f t="shared" si="28"/>
        <v>349817</v>
      </c>
      <c r="B255" s="52"/>
      <c r="C255" s="1" t="str">
        <f>CONCATENATE(H255,"-",$J$6)</f>
        <v>6000-oliva</v>
      </c>
      <c r="D255" s="53">
        <v>349817</v>
      </c>
      <c r="E255" s="52" t="str">
        <f>+VLOOKUP(A255,cennik!$A:$G,2,FALSE)</f>
        <v/>
      </c>
      <c r="F255" s="52" t="str">
        <f>+VLOOKUP(A255,cennik!A:B,2,FALSE)</f>
        <v/>
      </c>
      <c r="H255" s="1">
        <v>6000</v>
      </c>
      <c r="I255" s="1" t="str">
        <f>CONCATENATE(H255,"-",$J$6)</f>
        <v>6000-oliva</v>
      </c>
    </row>
    <row r="256" spans="1:9" ht="15" customHeight="1">
      <c r="A256" s="52">
        <f t="shared" ref="A256:A287" si="31">+D256</f>
        <v>0</v>
      </c>
      <c r="B256" s="52" t="s">
        <v>24</v>
      </c>
      <c r="D256" s="53"/>
      <c r="E256" s="52" t="e">
        <f>+VLOOKUP(A256,cennik!$A:$G,2,FALSE)</f>
        <v>#N/A</v>
      </c>
      <c r="F256" s="52" t="e">
        <f>+VLOOKUP(A256,cennik!A:B,2,FALSE)</f>
        <v>#N/A</v>
      </c>
      <c r="G256" s="1" t="e">
        <f>+VLOOKUP(A256,#REF!,4,FALSE)</f>
        <v>#REF!</v>
      </c>
      <c r="H256" s="1" t="s">
        <v>84</v>
      </c>
    </row>
    <row r="257" spans="1:9" ht="15" customHeight="1">
      <c r="A257" s="52">
        <f t="shared" si="31"/>
        <v>98073</v>
      </c>
      <c r="B257" s="52" t="s">
        <v>25</v>
      </c>
      <c r="C257" s="1" t="str">
        <f>$J$4</f>
        <v xml:space="preserve">strieborná </v>
      </c>
      <c r="D257" s="53">
        <v>98073</v>
      </c>
      <c r="E257" s="52" t="str">
        <f>+VLOOKUP(A257,cennik!$A:$G,2,FALSE)</f>
        <v>SEVROLL System 10 II úch.lišta 2,7m striebor</v>
      </c>
      <c r="F257" s="52" t="str">
        <f>+VLOOKUP(A257,cennik!A:B,2,FALSE)</f>
        <v>SEVROLL System 10 II úch.lišta 2,7m striebor</v>
      </c>
      <c r="G257" s="1" t="e">
        <f>+VLOOKUP(A257,#REF!,4,FALSE)</f>
        <v>#REF!</v>
      </c>
      <c r="I257" s="1" t="str">
        <f>$J$4</f>
        <v xml:space="preserve">strieborná </v>
      </c>
    </row>
    <row r="258" spans="1:9" ht="15" customHeight="1">
      <c r="A258" s="52">
        <f t="shared" si="31"/>
        <v>98074</v>
      </c>
      <c r="B258" s="52"/>
      <c r="C258" s="1" t="str">
        <f>$J$6</f>
        <v>oliva</v>
      </c>
      <c r="D258" s="53">
        <v>98074</v>
      </c>
      <c r="E258" s="52" t="str">
        <f>+VLOOKUP(A258,cennik!$A:$G,2,FALSE)</f>
        <v>SEVROLL System 10 II úch.lišta 2,7m oliva</v>
      </c>
      <c r="F258" s="52" t="str">
        <f>+VLOOKUP(A258,cennik!A:B,2,FALSE)</f>
        <v>SEVROLL System 10 II úch.lišta 2,7m oliva</v>
      </c>
      <c r="G258" s="1" t="e">
        <f>+VLOOKUP(A258,#REF!,4,FALSE)</f>
        <v>#REF!</v>
      </c>
      <c r="I258" s="1" t="str">
        <f>$J$6</f>
        <v>oliva</v>
      </c>
    </row>
    <row r="259" spans="1:9" ht="15" customHeight="1">
      <c r="A259" s="52">
        <f t="shared" si="31"/>
        <v>98075</v>
      </c>
      <c r="B259" s="52"/>
      <c r="C259" s="1" t="str">
        <f>$J$5</f>
        <v>zlatá</v>
      </c>
      <c r="D259" s="53">
        <v>98075</v>
      </c>
      <c r="E259" s="52" t="str">
        <f>+VLOOKUP(A259,cennik!$A:$G,2,FALSE)</f>
        <v>SEVROLL System 10 II úch.lišta 2,7m zlatá</v>
      </c>
      <c r="F259" s="52" t="str">
        <f>+VLOOKUP(A259,cennik!A:B,2,FALSE)</f>
        <v>SEVROLL System 10 II úch.lišta 2,7m zlatá</v>
      </c>
      <c r="G259" s="1" t="e">
        <f>+VLOOKUP(A259,#REF!,4,FALSE)</f>
        <v>#REF!</v>
      </c>
      <c r="I259" s="1" t="str">
        <f>$J$5</f>
        <v>zlatá</v>
      </c>
    </row>
    <row r="260" spans="1:9" ht="15" customHeight="1">
      <c r="A260" s="52">
        <f t="shared" si="31"/>
        <v>0</v>
      </c>
      <c r="B260" s="52"/>
      <c r="D260" s="53"/>
      <c r="E260" s="52" t="e">
        <f>+VLOOKUP(A260,cennik!$A:$G,2,FALSE)</f>
        <v>#N/A</v>
      </c>
      <c r="F260" s="52" t="e">
        <f>+VLOOKUP(A260,cennik!A:B,2,FALSE)</f>
        <v>#N/A</v>
      </c>
      <c r="G260" s="1" t="e">
        <f>+VLOOKUP(A260,#REF!,4,FALSE)</f>
        <v>#REF!</v>
      </c>
      <c r="H260" s="1" t="s">
        <v>84</v>
      </c>
    </row>
    <row r="261" spans="1:9" ht="15" customHeight="1">
      <c r="A261" s="52">
        <f t="shared" si="31"/>
        <v>0</v>
      </c>
      <c r="B261" s="52" t="s">
        <v>27</v>
      </c>
      <c r="D261" s="53"/>
      <c r="E261" s="52" t="e">
        <f>+VLOOKUP(A261,cennik!$A:$G,2,FALSE)</f>
        <v>#N/A</v>
      </c>
      <c r="F261" s="52" t="e">
        <f>+VLOOKUP(A261,cennik!A:B,2,FALSE)</f>
        <v>#N/A</v>
      </c>
      <c r="G261" s="1" t="e">
        <f>+VLOOKUP(A261,#REF!,4,FALSE)</f>
        <v>#REF!</v>
      </c>
      <c r="H261" s="1" t="s">
        <v>84</v>
      </c>
    </row>
    <row r="262" spans="1:9" s="557" customFormat="1" ht="15" customHeight="1">
      <c r="A262" s="559">
        <f t="shared" si="31"/>
        <v>89230</v>
      </c>
      <c r="B262" s="559"/>
      <c r="C262" s="557" t="str">
        <f>CONCATENATE(H262,"-",$J$4)</f>
        <v xml:space="preserve">1700-strieborná </v>
      </c>
      <c r="D262" s="561">
        <v>89230</v>
      </c>
      <c r="E262" s="559" t="str">
        <f>+VLOOKUP(A262,cennik!$A:$G,2,FALSE)</f>
        <v>SEVROLL-206 VOD.LIŠTA HOR.1,7M STRIEBOR.</v>
      </c>
      <c r="F262" s="559" t="str">
        <f>+VLOOKUP(A262,cennik!A:B,2,FALSE)</f>
        <v>SEVROLL-206 VOD.LIŠTA HOR.1,7M STRIEBOR.</v>
      </c>
      <c r="G262" s="557" t="e">
        <f>+VLOOKUP(A262,#REF!,4,FALSE)</f>
        <v>#REF!</v>
      </c>
      <c r="H262" s="557">
        <v>1700</v>
      </c>
      <c r="I262" s="557" t="str">
        <f>CONCATENATE(H262,"-",$J$4)</f>
        <v xml:space="preserve">1700-strieborná </v>
      </c>
    </row>
    <row r="263" spans="1:9" s="557" customFormat="1" ht="15" customHeight="1">
      <c r="A263" s="559">
        <f t="shared" si="31"/>
        <v>89231</v>
      </c>
      <c r="B263" s="559"/>
      <c r="C263" s="557" t="str">
        <f>CONCATENATE(H263,"-",$J$6)</f>
        <v>1700-oliva</v>
      </c>
      <c r="D263" s="561">
        <v>89231</v>
      </c>
      <c r="E263" s="559" t="str">
        <f>+VLOOKUP(A263,cennik!$A:$G,2,FALSE)</f>
        <v>SEVROLL-206 VOD.LIŠTA HOR.1,7M OLIVOVÁ</v>
      </c>
      <c r="F263" s="559" t="str">
        <f>+VLOOKUP(A263,cennik!A:B,2,FALSE)</f>
        <v>SEVROLL-206 VOD.LIŠTA HOR.1,7M OLIVOVÁ</v>
      </c>
      <c r="G263" s="557" t="e">
        <f>+VLOOKUP(A263,#REF!,4,FALSE)</f>
        <v>#REF!</v>
      </c>
      <c r="H263" s="557">
        <v>1700</v>
      </c>
      <c r="I263" s="557" t="str">
        <f>CONCATENATE(H263,"-",$J$6)</f>
        <v>1700-oliva</v>
      </c>
    </row>
    <row r="264" spans="1:9" s="557" customFormat="1" ht="15" customHeight="1">
      <c r="A264" s="559">
        <f t="shared" si="31"/>
        <v>89251</v>
      </c>
      <c r="B264" s="559"/>
      <c r="C264" s="557" t="str">
        <f>CONCATENATE(H264,"-",$J$5)</f>
        <v>1700-zlatá</v>
      </c>
      <c r="D264" s="561">
        <v>89251</v>
      </c>
      <c r="E264" s="559" t="str">
        <f>+VLOOKUP(A264,cennik!$A:$G,2,FALSE)</f>
        <v>SEVROLL-206 LIŠTA VOD.HORNÁ ZLATÁ 1,70m</v>
      </c>
      <c r="F264" s="559" t="str">
        <f>+VLOOKUP(A264,cennik!A:B,2,FALSE)</f>
        <v>SEVROLL-206 LIŠTA VOD.HORNÁ ZLATÁ 1,70m</v>
      </c>
      <c r="G264" s="557" t="e">
        <f>+VLOOKUP(A264,#REF!,4,FALSE)</f>
        <v>#REF!</v>
      </c>
      <c r="H264" s="557">
        <v>1700</v>
      </c>
      <c r="I264" s="557" t="str">
        <f>CONCATENATE(H264,"-",$J$5)</f>
        <v>1700-zlatá</v>
      </c>
    </row>
    <row r="265" spans="1:9" s="557" customFormat="1" ht="15" customHeight="1">
      <c r="A265" s="559">
        <f t="shared" si="31"/>
        <v>89232</v>
      </c>
      <c r="B265" s="559"/>
      <c r="C265" s="557" t="str">
        <f>CONCATENATE(H265,"-",$J$4)</f>
        <v xml:space="preserve">2350-strieborná </v>
      </c>
      <c r="D265" s="561">
        <v>89232</v>
      </c>
      <c r="E265" s="559" t="str">
        <f>+VLOOKUP(A265,cennik!$A:$G,2,FALSE)</f>
        <v>SEVROLL-207 VOD.LIŠTA HOR.2,35M STRIEBOR</v>
      </c>
      <c r="F265" s="559" t="str">
        <f>+VLOOKUP(A265,cennik!A:B,2,FALSE)</f>
        <v>SEVROLL-207 VOD.LIŠTA HOR.2,35M STRIEBOR</v>
      </c>
      <c r="G265" s="557" t="e">
        <f>+VLOOKUP(A265,#REF!,4,FALSE)</f>
        <v>#REF!</v>
      </c>
      <c r="H265" s="557">
        <v>2350</v>
      </c>
      <c r="I265" s="557" t="str">
        <f>CONCATENATE(H265,"-",$J$4)</f>
        <v xml:space="preserve">2350-strieborná </v>
      </c>
    </row>
    <row r="266" spans="1:9" s="557" customFormat="1" ht="15" customHeight="1">
      <c r="A266" s="559">
        <f t="shared" si="31"/>
        <v>89233</v>
      </c>
      <c r="B266" s="559"/>
      <c r="C266" s="557" t="str">
        <f>CONCATENATE(H266,"-",$J$6)</f>
        <v>2350-oliva</v>
      </c>
      <c r="D266" s="561">
        <v>89233</v>
      </c>
      <c r="E266" s="559" t="str">
        <f>+VLOOKUP(A266,cennik!$A:$G,2,FALSE)</f>
        <v>SEVROLL-207 VOD.LIŠTA HOR.2,35M OLIVOVÁ</v>
      </c>
      <c r="F266" s="559" t="str">
        <f>+VLOOKUP(A266,cennik!A:B,2,FALSE)</f>
        <v>SEVROLL-207 VOD.LIŠTA HOR.2,35M OLIVOVÁ</v>
      </c>
      <c r="G266" s="557" t="e">
        <f>+VLOOKUP(A266,#REF!,4,FALSE)</f>
        <v>#REF!</v>
      </c>
      <c r="H266" s="557">
        <v>2350</v>
      </c>
      <c r="I266" s="557" t="str">
        <f>CONCATENATE(H266,"-",$J$6)</f>
        <v>2350-oliva</v>
      </c>
    </row>
    <row r="267" spans="1:9" s="557" customFormat="1" ht="15" customHeight="1">
      <c r="A267" s="559">
        <f t="shared" si="31"/>
        <v>89252</v>
      </c>
      <c r="B267" s="559"/>
      <c r="C267" s="557" t="str">
        <f>CONCATENATE(H267,"-",$J$5)</f>
        <v>2350-zlatá</v>
      </c>
      <c r="D267" s="561">
        <v>89252</v>
      </c>
      <c r="E267" s="559" t="str">
        <f>+VLOOKUP(A267,cennik!$A:$G,2,FALSE)</f>
        <v>SEVROLL-207 LIŠTA VOD.HORNÁ ZLATÁ 2,35m</v>
      </c>
      <c r="F267" s="559" t="str">
        <f>+VLOOKUP(A267,cennik!A:B,2,FALSE)</f>
        <v>SEVROLL-207 LIŠTA VOD.HORNÁ ZLATÁ 2,35m</v>
      </c>
      <c r="G267" s="557" t="e">
        <f>+VLOOKUP(A267,#REF!,4,FALSE)</f>
        <v>#REF!</v>
      </c>
      <c r="H267" s="557">
        <v>2350</v>
      </c>
      <c r="I267" s="557" t="str">
        <f>CONCATENATE(H267,"-",$J$5)</f>
        <v>2350-zlatá</v>
      </c>
    </row>
    <row r="268" spans="1:9" s="557" customFormat="1" ht="15" customHeight="1">
      <c r="A268" s="559">
        <f t="shared" si="31"/>
        <v>89234</v>
      </c>
      <c r="B268" s="559"/>
      <c r="C268" s="557" t="str">
        <f>CONCATENATE(H268,"-",$J$4)</f>
        <v xml:space="preserve">3000-strieborná </v>
      </c>
      <c r="D268" s="561">
        <v>89234</v>
      </c>
      <c r="E268" s="559" t="str">
        <f>+VLOOKUP(A268,cennik!$A:$G,2,FALSE)</f>
        <v>SEVROLL-208 VOD.LIŠTA HOR 3M STRIEBOR.</v>
      </c>
      <c r="F268" s="559" t="str">
        <f>+VLOOKUP(A268,cennik!A:B,2,FALSE)</f>
        <v>SEVROLL-208 VOD.LIŠTA HOR 3M STRIEBOR.</v>
      </c>
      <c r="G268" s="557" t="e">
        <f>+VLOOKUP(A268,#REF!,4,FALSE)</f>
        <v>#REF!</v>
      </c>
      <c r="H268" s="557">
        <v>3000</v>
      </c>
      <c r="I268" s="557" t="str">
        <f>CONCATENATE(H268,"-",$J$4)</f>
        <v xml:space="preserve">3000-strieborná </v>
      </c>
    </row>
    <row r="269" spans="1:9" s="557" customFormat="1" ht="15" customHeight="1">
      <c r="A269" s="559">
        <f t="shared" si="31"/>
        <v>89235</v>
      </c>
      <c r="B269" s="559"/>
      <c r="C269" s="557" t="str">
        <f>CONCATENATE(H269,"-",$J$6)</f>
        <v>3000-oliva</v>
      </c>
      <c r="D269" s="561">
        <v>89235</v>
      </c>
      <c r="E269" s="559" t="str">
        <f>+VLOOKUP(A269,cennik!$A:$G,2,FALSE)</f>
        <v>SEVROLL-208 VOD.LIŠTA HOR 3M OLIVOVÁ</v>
      </c>
      <c r="F269" s="559" t="str">
        <f>+VLOOKUP(A269,cennik!A:B,2,FALSE)</f>
        <v>SEVROLL-208 VOD.LIŠTA HOR 3M OLIVOVÁ</v>
      </c>
      <c r="G269" s="557" t="e">
        <f>+VLOOKUP(A269,#REF!,4,FALSE)</f>
        <v>#REF!</v>
      </c>
      <c r="H269" s="557">
        <v>3000</v>
      </c>
      <c r="I269" s="557" t="str">
        <f>CONCATENATE(H269,"-",$J$6)</f>
        <v>3000-oliva</v>
      </c>
    </row>
    <row r="270" spans="1:9" s="557" customFormat="1" ht="15" customHeight="1">
      <c r="A270" s="559">
        <f t="shared" si="31"/>
        <v>89253</v>
      </c>
      <c r="B270" s="559"/>
      <c r="C270" s="557" t="str">
        <f>CONCATENATE(H270,"-",$J$5)</f>
        <v>3000-zlatá</v>
      </c>
      <c r="D270" s="561">
        <v>89253</v>
      </c>
      <c r="E270" s="559" t="str">
        <f>+VLOOKUP(A270,cennik!$A:$G,2,FALSE)</f>
        <v>SEVROLL-208 LIŠTA VOD.HORNÁ ZLATÁ 3,00m</v>
      </c>
      <c r="F270" s="559" t="str">
        <f>+VLOOKUP(A270,cennik!A:B,2,FALSE)</f>
        <v>SEVROLL-208 LIŠTA VOD.HORNÁ ZLATÁ 3,00m</v>
      </c>
      <c r="G270" s="557" t="e">
        <f>+VLOOKUP(A270,#REF!,4,FALSE)</f>
        <v>#REF!</v>
      </c>
      <c r="H270" s="557">
        <v>3000</v>
      </c>
      <c r="I270" s="557" t="str">
        <f>CONCATENATE(H270,"-",$J$5)</f>
        <v>3000-zlatá</v>
      </c>
    </row>
    <row r="271" spans="1:9" s="557" customFormat="1" ht="15" customHeight="1">
      <c r="A271" s="559" t="str">
        <f t="shared" si="31"/>
        <v>89230+89232</v>
      </c>
      <c r="B271" s="559"/>
      <c r="C271" s="557" t="str">
        <f>CONCATENATE(H271,"-",$J$4)</f>
        <v xml:space="preserve">4050-strieborná </v>
      </c>
      <c r="D271" s="561" t="s">
        <v>28</v>
      </c>
      <c r="E271" s="559" t="e">
        <f>+VLOOKUP(A271,cennik!$A:$G,2,FALSE)</f>
        <v>#N/A</v>
      </c>
      <c r="F271" s="559" t="e">
        <f>+VLOOKUP(A271,cennik!A:B,2,FALSE)</f>
        <v>#N/A</v>
      </c>
      <c r="G271" s="557" t="e">
        <f>+VLOOKUP(A271,#REF!,4,FALSE)</f>
        <v>#REF!</v>
      </c>
      <c r="H271" s="557">
        <v>4050</v>
      </c>
      <c r="I271" s="557" t="str">
        <f>CONCATENATE(H271,"-",$J$4)</f>
        <v xml:space="preserve">4050-strieborná </v>
      </c>
    </row>
    <row r="272" spans="1:9" s="557" customFormat="1" ht="15" customHeight="1">
      <c r="A272" s="559" t="str">
        <f t="shared" si="31"/>
        <v>89231+89233</v>
      </c>
      <c r="B272" s="559"/>
      <c r="C272" s="557" t="str">
        <f>CONCATENATE(H272,"-",$J$6)</f>
        <v>4050-oliva</v>
      </c>
      <c r="D272" s="561" t="s">
        <v>29</v>
      </c>
      <c r="E272" s="559" t="e">
        <f>+VLOOKUP(A272,cennik!$A:$G,2,FALSE)</f>
        <v>#N/A</v>
      </c>
      <c r="F272" s="559" t="e">
        <f>+VLOOKUP(A272,cennik!A:B,2,FALSE)</f>
        <v>#N/A</v>
      </c>
      <c r="G272" s="557" t="e">
        <f>+VLOOKUP(A272,#REF!,4,FALSE)</f>
        <v>#REF!</v>
      </c>
      <c r="H272" s="557">
        <v>4050</v>
      </c>
      <c r="I272" s="557" t="str">
        <f>CONCATENATE(H272,"-",$J$6)</f>
        <v>4050-oliva</v>
      </c>
    </row>
    <row r="273" spans="1:9" s="557" customFormat="1" ht="15" customHeight="1">
      <c r="A273" s="559" t="str">
        <f t="shared" si="31"/>
        <v>89251+89252</v>
      </c>
      <c r="B273" s="559"/>
      <c r="C273" s="557" t="str">
        <f>CONCATENATE(H273,"-",$J$5)</f>
        <v>4050-zlatá</v>
      </c>
      <c r="D273" s="561" t="s">
        <v>30</v>
      </c>
      <c r="E273" s="559" t="e">
        <f>+VLOOKUP(A273,cennik!$A:$G,2,FALSE)</f>
        <v>#N/A</v>
      </c>
      <c r="F273" s="559" t="e">
        <f>+VLOOKUP(A273,cennik!A:B,2,FALSE)</f>
        <v>#N/A</v>
      </c>
      <c r="G273" s="557" t="e">
        <f>+VLOOKUP(A273,#REF!,4,FALSE)</f>
        <v>#REF!</v>
      </c>
      <c r="H273" s="557">
        <v>4050</v>
      </c>
      <c r="I273" s="557" t="str">
        <f>CONCATENATE(H273,"-",$J$5)</f>
        <v>4050-zlatá</v>
      </c>
    </row>
    <row r="274" spans="1:9" s="557" customFormat="1" ht="15" customHeight="1">
      <c r="A274" s="559">
        <f t="shared" si="31"/>
        <v>119414</v>
      </c>
      <c r="B274" s="559"/>
      <c r="C274" s="557" t="str">
        <f>CONCATENATE(H274,"-",$J$7)</f>
        <v>1700-oliva kartáčovaná</v>
      </c>
      <c r="D274" s="561">
        <v>119414</v>
      </c>
      <c r="E274" s="559" t="str">
        <f>+VLOOKUP(A274,cennik!$A:$G,2,FALSE)</f>
        <v>SEVROLL horná vodiaca lišta 1,7m oliva kart</v>
      </c>
      <c r="F274" s="559" t="str">
        <f>+VLOOKUP(A274,cennik!A:B,2,FALSE)</f>
        <v>SEVROLL horná vodiaca lišta 1,7m oliva kart</v>
      </c>
      <c r="G274" s="557" t="e">
        <f>+VLOOKUP(A274,#REF!,4,FALSE)</f>
        <v>#REF!</v>
      </c>
      <c r="H274" s="557">
        <v>1700</v>
      </c>
      <c r="I274" s="557" t="str">
        <f>CONCATENATE(H274,"-",$J$7)</f>
        <v>1700-oliva kartáčovaná</v>
      </c>
    </row>
    <row r="275" spans="1:9" s="557" customFormat="1" ht="15" customHeight="1">
      <c r="A275" s="559">
        <f t="shared" si="31"/>
        <v>119415</v>
      </c>
      <c r="B275" s="559"/>
      <c r="C275" s="557" t="str">
        <f>CONCATENATE(H275,"-",$J$7)</f>
        <v>2350-oliva kartáčovaná</v>
      </c>
      <c r="D275" s="561">
        <v>119415</v>
      </c>
      <c r="E275" s="559" t="str">
        <f>+VLOOKUP(A275,cennik!$A:$G,2,FALSE)</f>
        <v>SEVROLL horná vodiaca lišta 2,35m oliva kart</v>
      </c>
      <c r="F275" s="559" t="str">
        <f>+VLOOKUP(A275,cennik!A:B,2,FALSE)</f>
        <v>SEVROLL horná vodiaca lišta 2,35m oliva kart</v>
      </c>
      <c r="G275" s="557" t="e">
        <f>+VLOOKUP(A275,#REF!,4,FALSE)</f>
        <v>#REF!</v>
      </c>
      <c r="H275" s="557">
        <v>2350</v>
      </c>
      <c r="I275" s="557" t="str">
        <f>CONCATENATE(H275,"-",$J$7)</f>
        <v>2350-oliva kartáčovaná</v>
      </c>
    </row>
    <row r="276" spans="1:9" s="557" customFormat="1" ht="15" customHeight="1">
      <c r="A276" s="559">
        <f t="shared" si="31"/>
        <v>119416</v>
      </c>
      <c r="B276" s="559"/>
      <c r="C276" s="557" t="str">
        <f>CONCATENATE(H276,"-",$J$7)</f>
        <v>3000-oliva kartáčovaná</v>
      </c>
      <c r="D276" s="561">
        <v>119416</v>
      </c>
      <c r="E276" s="559" t="str">
        <f>+VLOOKUP(A276,cennik!$A:$G,2,FALSE)</f>
        <v>SEVROLL horná vodiaca lišta 3m oliva kartáč.</v>
      </c>
      <c r="F276" s="559" t="str">
        <f>+VLOOKUP(A276,cennik!A:B,2,FALSE)</f>
        <v>SEVROLL horná vodiaca lišta 3m oliva kartáč.</v>
      </c>
      <c r="G276" s="557" t="e">
        <f>+VLOOKUP(A276,#REF!,4,FALSE)</f>
        <v>#REF!</v>
      </c>
      <c r="H276" s="557">
        <v>3000</v>
      </c>
      <c r="I276" s="557" t="str">
        <f>CONCATENATE(H276,"-",$J$7)</f>
        <v>3000-oliva kartáčovaná</v>
      </c>
    </row>
    <row r="277" spans="1:9" s="557" customFormat="1" ht="15" customHeight="1">
      <c r="A277" s="559">
        <f t="shared" si="31"/>
        <v>205103</v>
      </c>
      <c r="B277" s="559"/>
      <c r="C277" s="557" t="str">
        <f>CONCATENATE(H277,"-",$J$8)</f>
        <v>1700-kart. tm. oliva</v>
      </c>
      <c r="D277" s="561">
        <v>205103</v>
      </c>
      <c r="E277" s="559" t="str">
        <f>+VLOOKUP(A277,cennik!$A:$G,2,FALSE)</f>
        <v>SEVROLL VODIACA LIŠTA 1,7M OLIVA TM.KARTÁČ.</v>
      </c>
      <c r="F277" s="559" t="str">
        <f>+VLOOKUP(A277,cennik!A:B,2,FALSE)</f>
        <v>SEVROLL VODIACA LIŠTA 1,7M OLIVA TM.KARTÁČ.</v>
      </c>
      <c r="G277" s="557" t="e">
        <f>+VLOOKUP(A277,#REF!,4,FALSE)</f>
        <v>#REF!</v>
      </c>
      <c r="H277" s="557">
        <v>1700</v>
      </c>
      <c r="I277" s="557" t="str">
        <f>CONCATENATE(H277,"-",$J$8)</f>
        <v>1700-kart. tm. oliva</v>
      </c>
    </row>
    <row r="278" spans="1:9" s="557" customFormat="1" ht="15" customHeight="1">
      <c r="A278" s="559">
        <f t="shared" si="31"/>
        <v>205156</v>
      </c>
      <c r="B278" s="559"/>
      <c r="C278" s="557" t="str">
        <f>CONCATENATE(H278,"-",$J$8)</f>
        <v>2350-kart. tm. oliva</v>
      </c>
      <c r="D278" s="561">
        <v>205156</v>
      </c>
      <c r="E278" s="559" t="str">
        <f>+VLOOKUP(A278,cennik!$A:$G,2,FALSE)</f>
        <v>SEVROLL VODIACA LIŠTA 2,35M OLIVA TM. KARTÁ</v>
      </c>
      <c r="F278" s="559" t="str">
        <f>+VLOOKUP(A278,cennik!A:B,2,FALSE)</f>
        <v>SEVROLL VODIACA LIŠTA 2,35M OLIVA TM. KARTÁ</v>
      </c>
      <c r="G278" s="557" t="e">
        <f>+VLOOKUP(A278,#REF!,4,FALSE)</f>
        <v>#REF!</v>
      </c>
      <c r="H278" s="557">
        <v>2350</v>
      </c>
      <c r="I278" s="557" t="str">
        <f>CONCATENATE(H278,"-",$J$8)</f>
        <v>2350-kart. tm. oliva</v>
      </c>
    </row>
    <row r="279" spans="1:9" s="557" customFormat="1" ht="15" customHeight="1">
      <c r="A279" s="559">
        <f t="shared" si="31"/>
        <v>205158</v>
      </c>
      <c r="B279" s="559"/>
      <c r="C279" s="557" t="str">
        <f>CONCATENATE(H279,"-",$J$8)</f>
        <v>3000-kart. tm. oliva</v>
      </c>
      <c r="D279" s="561">
        <v>205158</v>
      </c>
      <c r="E279" s="559" t="str">
        <f>+VLOOKUP(A279,cennik!$A:$G,2,FALSE)</f>
        <v>SEVROLL VODIACA LIŠTA 3M OLIVA TM. KARTÁČ.</v>
      </c>
      <c r="F279" s="559" t="str">
        <f>+VLOOKUP(A279,cennik!A:B,2,FALSE)</f>
        <v>SEVROLL VODIACA LIŠTA 3M OLIVA TM. KARTÁČ.</v>
      </c>
      <c r="G279" s="557" t="e">
        <f>+VLOOKUP(A279,#REF!,4,FALSE)</f>
        <v>#REF!</v>
      </c>
      <c r="H279" s="557">
        <v>3000</v>
      </c>
      <c r="I279" s="557" t="str">
        <f>CONCATENATE(H279,"-",$J$8)</f>
        <v>3000-kart. tm. oliva</v>
      </c>
    </row>
    <row r="280" spans="1:9" s="557" customFormat="1" ht="15" customHeight="1">
      <c r="A280" s="559">
        <f t="shared" si="31"/>
        <v>205105</v>
      </c>
      <c r="B280" s="559"/>
      <c r="C280" s="557" t="str">
        <f>CONCATENATE(H280,"-",$J$9)</f>
        <v>1700-kart. čierna</v>
      </c>
      <c r="D280" s="561">
        <v>205105</v>
      </c>
      <c r="E280" s="559" t="str">
        <f>+VLOOKUP(A280,cennik!$A:$G,2,FALSE)</f>
        <v>SEVROLL VODIACA LIŠTA 1,7M čierna KARTÁČ.</v>
      </c>
      <c r="F280" s="559" t="str">
        <f>+VLOOKUP(A280,cennik!A:B,2,FALSE)</f>
        <v>SEVROLL VODIACA LIŠTA 1,7M čierna KARTÁČ.</v>
      </c>
      <c r="H280" s="557">
        <v>1700</v>
      </c>
      <c r="I280" s="557" t="str">
        <f>CONCATENATE(H280,"-",$J$9)</f>
        <v>1700-kart. čierna</v>
      </c>
    </row>
    <row r="281" spans="1:9" s="557" customFormat="1" ht="15" customHeight="1">
      <c r="A281" s="559">
        <f t="shared" si="31"/>
        <v>205157</v>
      </c>
      <c r="B281" s="559"/>
      <c r="C281" s="557" t="str">
        <f>CONCATENATE(H281,"-",$J$9)</f>
        <v>2350-kart. čierna</v>
      </c>
      <c r="D281" s="561">
        <v>205157</v>
      </c>
      <c r="E281" s="559" t="str">
        <f>+VLOOKUP(A281,cennik!$A:$G,2,FALSE)</f>
        <v>SEVROLL VODIACA LIŠTA 2,35M čierna KARTÁČ</v>
      </c>
      <c r="F281" s="559" t="str">
        <f>+VLOOKUP(A281,cennik!A:B,2,FALSE)</f>
        <v>SEVROLL VODIACA LIŠTA 2,35M čierna KARTÁČ</v>
      </c>
      <c r="H281" s="557">
        <v>2350</v>
      </c>
      <c r="I281" s="557" t="str">
        <f>CONCATENATE(H281,"-",$J$9)</f>
        <v>2350-kart. čierna</v>
      </c>
    </row>
    <row r="282" spans="1:9" s="557" customFormat="1" ht="15" customHeight="1">
      <c r="A282" s="559">
        <f t="shared" si="31"/>
        <v>205159</v>
      </c>
      <c r="B282" s="559"/>
      <c r="C282" s="557" t="str">
        <f>CONCATENATE(H282,"-",$J$9)</f>
        <v>3000-kart. čierna</v>
      </c>
      <c r="D282" s="561">
        <v>205159</v>
      </c>
      <c r="E282" s="559" t="str">
        <f>+VLOOKUP(A282,cennik!$A:$G,2,FALSE)</f>
        <v>SEVROLL VODIACA LIŠTA 3M čierna KARTÁČ.</v>
      </c>
      <c r="F282" s="559" t="str">
        <f>+VLOOKUP(A282,cennik!A:B,2,FALSE)</f>
        <v>SEVROLL VODIACA LIŠTA 3M čierna KARTÁČ.</v>
      </c>
      <c r="H282" s="557">
        <v>3000</v>
      </c>
      <c r="I282" s="557" t="str">
        <f>CONCATENATE(H282,"-",$J$9)</f>
        <v>3000-kart. čierna</v>
      </c>
    </row>
    <row r="283" spans="1:9" s="557" customFormat="1" ht="15" customHeight="1">
      <c r="A283" s="559">
        <f t="shared" si="31"/>
        <v>276737</v>
      </c>
      <c r="B283" s="559"/>
      <c r="C283" s="557" t="str">
        <f>CONCATENATE(H283,"-",$J$15)</f>
        <v>1700-biela lesk</v>
      </c>
      <c r="D283" s="561">
        <v>276737</v>
      </c>
      <c r="E283" s="559" t="str">
        <f>+VLOOKUP(A283,cennik!$A:$G,2,FALSE)</f>
        <v>SEVROLL horná vodiaca lišta 1,7m biela les</v>
      </c>
      <c r="F283" s="559" t="str">
        <f>+VLOOKUP(A283,cennik!A:B,2,FALSE)</f>
        <v>SEVROLL horná vodiaca lišta 1,7m biela les</v>
      </c>
      <c r="H283" s="557">
        <v>1700</v>
      </c>
      <c r="I283" s="557" t="str">
        <f>CONCATENATE(H283,"-",$J$15)</f>
        <v>1700-biela lesk</v>
      </c>
    </row>
    <row r="284" spans="1:9" s="557" customFormat="1" ht="15" customHeight="1">
      <c r="A284" s="559">
        <f t="shared" si="31"/>
        <v>267944</v>
      </c>
      <c r="B284" s="559"/>
      <c r="C284" s="557" t="str">
        <f>CONCATENATE(H284,"-",$J$15)</f>
        <v>2350-biela lesk</v>
      </c>
      <c r="D284" s="561">
        <v>267944</v>
      </c>
      <c r="E284" s="559" t="str">
        <f>+VLOOKUP(A284,cennik!$A:$G,2,FALSE)</f>
        <v>SEVROLL horná vod.lišta 2,35m biela lesk</v>
      </c>
      <c r="F284" s="559" t="str">
        <f>+VLOOKUP(A284,cennik!A:B,2,FALSE)</f>
        <v>SEVROLL horná vod.lišta 2,35m biela lesk</v>
      </c>
      <c r="H284" s="557">
        <v>2350</v>
      </c>
      <c r="I284" s="557" t="str">
        <f>CONCATENATE(H284,"-",$J$15)</f>
        <v>2350-biela lesk</v>
      </c>
    </row>
    <row r="285" spans="1:9" s="557" customFormat="1" ht="15" customHeight="1">
      <c r="A285" s="559">
        <f t="shared" si="31"/>
        <v>265066</v>
      </c>
      <c r="B285" s="559"/>
      <c r="C285" s="557" t="str">
        <f>CONCATENATE(H285,"-",$J$15)</f>
        <v>3000-biela lesk</v>
      </c>
      <c r="D285" s="561">
        <v>265066</v>
      </c>
      <c r="E285" s="559" t="str">
        <f>+VLOOKUP(A285,cennik!$A:$G,2,FALSE)</f>
        <v>SEVROLL horná vodiaca lišta 3m biela lesk</v>
      </c>
      <c r="F285" s="559" t="str">
        <f>+VLOOKUP(A285,cennik!A:B,2,FALSE)</f>
        <v>SEVROLL horná vodiaca lišta 3m biela lesk</v>
      </c>
      <c r="H285" s="557">
        <v>3000</v>
      </c>
      <c r="I285" s="557" t="str">
        <f>CONCATENATE(H285,"-",$J$15)</f>
        <v>3000-biela lesk</v>
      </c>
    </row>
    <row r="286" spans="1:9" s="557" customFormat="1" ht="15" customHeight="1">
      <c r="A286" s="559">
        <f t="shared" si="31"/>
        <v>278058</v>
      </c>
      <c r="B286" s="559"/>
      <c r="C286" s="557" t="str">
        <f>CONCATENATE(H286,"-",$J$4)</f>
        <v xml:space="preserve">3000-strieborná </v>
      </c>
      <c r="D286" s="561">
        <v>278058</v>
      </c>
      <c r="E286" s="559" t="str">
        <f>+VLOOKUP(A286,cennik!$A:$G,2,FALSE)</f>
        <v>SEVROLL Pax horná vodiaca lišta 3m stieb</v>
      </c>
      <c r="F286" s="559" t="str">
        <f>+VLOOKUP(A286,cennik!A:B,2,FALSE)</f>
        <v>SEVROLL Pax horná vodiaca lišta 3m stieb</v>
      </c>
      <c r="H286" s="557">
        <v>3000</v>
      </c>
      <c r="I286" s="557" t="str">
        <f>CONCATENATE(H286,"-",$J$4)</f>
        <v xml:space="preserve">3000-strieborná </v>
      </c>
    </row>
    <row r="287" spans="1:9" s="557" customFormat="1" ht="15" customHeight="1">
      <c r="A287" s="559">
        <f t="shared" si="31"/>
        <v>284525</v>
      </c>
      <c r="B287" s="559"/>
      <c r="C287" s="557" t="str">
        <f>CONCATENATE(H287,"-",$J$15)</f>
        <v>3000-biela lesk</v>
      </c>
      <c r="D287" s="561">
        <v>284525</v>
      </c>
      <c r="E287" s="559" t="str">
        <f>+VLOOKUP(A287,cennik!$A:$G,2,FALSE)</f>
        <v>SEVROLL Pax horná vod.lišta 3m RAL9003 lesk</v>
      </c>
      <c r="F287" s="559" t="str">
        <f>+VLOOKUP(A287,cennik!A:B,2,FALSE)</f>
        <v>SEVROLL Pax horná vod.lišta 3m RAL9003 lesk</v>
      </c>
      <c r="H287" s="557">
        <v>3000</v>
      </c>
      <c r="I287" s="557" t="str">
        <f>CONCATENATE(H287,"-",$J$15)</f>
        <v>3000-biela lesk</v>
      </c>
    </row>
    <row r="288" spans="1:9" s="557" customFormat="1" ht="15" customHeight="1">
      <c r="A288" s="557">
        <v>405377</v>
      </c>
      <c r="C288" s="557" t="str">
        <f>CONCATENATE(H288,"-",$J$16)</f>
        <v>1700-čierna lesk</v>
      </c>
      <c r="D288" s="558">
        <v>405377</v>
      </c>
      <c r="E288" s="559" t="str">
        <f>+VLOOKUP(A288,cennik!$A:$G,2,FALSE)</f>
        <v>SEVROLL horná vodiaca lišta 1,7m čierna lesk</v>
      </c>
      <c r="F288" s="559" t="str">
        <f>+VLOOKUP(A288,cennik!A:B,2,FALSE)</f>
        <v>SEVROLL horná vodiaca lišta 1,7m čierna lesk</v>
      </c>
      <c r="H288" s="557">
        <v>1700</v>
      </c>
      <c r="I288" s="557" t="str">
        <f>CONCATENATE(H288,"-",$J$16)</f>
        <v>1700-čierna lesk</v>
      </c>
    </row>
    <row r="289" spans="1:9" s="557" customFormat="1" ht="15" customHeight="1">
      <c r="A289" s="557">
        <v>405379</v>
      </c>
      <c r="C289" s="557" t="str">
        <f>CONCATENATE(H289,"-",$J$16)</f>
        <v>2350-čierna lesk</v>
      </c>
      <c r="D289" s="558">
        <v>405379</v>
      </c>
      <c r="E289" s="559" t="str">
        <f>+VLOOKUP(A289,cennik!$A:$G,2,FALSE)</f>
        <v>SEVROLL horná vod.lišta 2,35m čierna lesk</v>
      </c>
      <c r="F289" s="559" t="str">
        <f>+VLOOKUP(A289,cennik!A:B,2,FALSE)</f>
        <v>SEVROLL horná vod.lišta 2,35m čierna lesk</v>
      </c>
      <c r="H289" s="557">
        <v>2350</v>
      </c>
      <c r="I289" s="557" t="str">
        <f>CONCATENATE(H289,"-",$J$16)</f>
        <v>2350-čierna lesk</v>
      </c>
    </row>
    <row r="290" spans="1:9" s="557" customFormat="1" ht="15" customHeight="1">
      <c r="A290" s="557">
        <v>405382</v>
      </c>
      <c r="C290" s="557" t="str">
        <f>CONCATENATE(H290,"-",$J$16)</f>
        <v>3000-čierna lesk</v>
      </c>
      <c r="D290" s="558">
        <v>405382</v>
      </c>
      <c r="E290" s="559" t="str">
        <f>+VLOOKUP(A290,cennik!$A:$G,2,FALSE)</f>
        <v>SEVROLL horná vodiaca lišta 3m čierna lesk</v>
      </c>
      <c r="F290" s="559" t="str">
        <f>+VLOOKUP(A290,cennik!A:B,2,FALSE)</f>
        <v>SEVROLL horná vodiaca lišta 3m čierna lesk</v>
      </c>
      <c r="H290" s="557">
        <v>3000</v>
      </c>
      <c r="I290" s="557" t="str">
        <f>CONCATENATE(H290,"-",$J$16)</f>
        <v>3000-čierna lesk</v>
      </c>
    </row>
    <row r="291" spans="1:9" s="557" customFormat="1" ht="15" customHeight="1">
      <c r="A291" s="557">
        <v>422043</v>
      </c>
      <c r="C291" s="557" t="str">
        <f>CONCATENATE(H291,"-",$J$17)</f>
        <v>1700-čierna mat</v>
      </c>
      <c r="D291" s="557">
        <v>422043</v>
      </c>
      <c r="E291" s="559" t="str">
        <f>+VLOOKUP(A291,cennik!$A:$G,2,FALSE)</f>
        <v>SEVROLL horná vodiaca lišta 1,7m čierna mat</v>
      </c>
      <c r="F291" s="559" t="str">
        <f>+VLOOKUP(A291,cennik!A:B,2,FALSE)</f>
        <v>SEVROLL horná vodiaca lišta 1,7m čierna mat</v>
      </c>
      <c r="H291" s="557">
        <v>1700</v>
      </c>
      <c r="I291" s="557" t="str">
        <f>CONCATENATE(H291,"-",$J$17)</f>
        <v>1700-čierna mat</v>
      </c>
    </row>
    <row r="292" spans="1:9" s="557" customFormat="1" ht="15" customHeight="1">
      <c r="A292" s="557">
        <v>452608</v>
      </c>
      <c r="C292" s="557" t="str">
        <f>CONCATENATE(H292,"-",$J$17)</f>
        <v>2350-čierna mat</v>
      </c>
      <c r="D292" s="557">
        <v>452608</v>
      </c>
      <c r="E292" s="559" t="str">
        <f>+VLOOKUP(A292,cennik!$A:$G,2,FALSE)</f>
        <v>SEVROLL horná vod.lišta 2,35m čierna mat</v>
      </c>
      <c r="F292" s="559" t="str">
        <f>+VLOOKUP(A292,cennik!A:B,2,FALSE)</f>
        <v>SEVROLL horná vod.lišta 2,35m čierna mat</v>
      </c>
      <c r="H292" s="557">
        <v>2350</v>
      </c>
      <c r="I292" s="557" t="str">
        <f>CONCATENATE(H292,"-",$J$17)</f>
        <v>2350-čierna mat</v>
      </c>
    </row>
    <row r="293" spans="1:9" ht="15" customHeight="1">
      <c r="A293" s="557">
        <v>452734</v>
      </c>
      <c r="B293" s="557"/>
      <c r="C293" s="557" t="str">
        <f>CONCATENATE(H293,"-",$J$17)</f>
        <v>3000-čierna mat</v>
      </c>
      <c r="D293" s="558">
        <v>452734</v>
      </c>
      <c r="E293" s="559" t="str">
        <f>+VLOOKUP(A293,cennik!$A:$G,2,FALSE)</f>
        <v>SEVROLL horná vodiaca lišta 3m čierna mat</v>
      </c>
      <c r="F293" s="559" t="str">
        <f>+VLOOKUP(A293,cennik!A:B,2,FALSE)</f>
        <v>SEVROLL horná vodiaca lišta 3m čierna mat</v>
      </c>
      <c r="G293" s="557"/>
      <c r="H293" s="557">
        <v>3000</v>
      </c>
      <c r="I293" s="557" t="str">
        <f>CONCATENATE(H293,"-",$J$17)</f>
        <v>3000-čierna mat</v>
      </c>
    </row>
    <row r="294" spans="1:9" ht="15" customHeight="1">
      <c r="A294" s="1">
        <v>452735</v>
      </c>
      <c r="C294" s="1" t="str">
        <f>CONCATENATE(H294,"-",$J$17)</f>
        <v>3000-čierna mat</v>
      </c>
      <c r="D294" s="2">
        <v>452735</v>
      </c>
      <c r="E294" s="570" t="str">
        <f>+VLOOKUP(A294,cennik!$A:$G,2,FALSE)</f>
        <v>SEVROLL Pax horná vodiaca lišta 3m čierna mat</v>
      </c>
      <c r="F294" s="52" t="str">
        <f>+VLOOKUP(A294,cennik!A:B,2,FALSE)</f>
        <v>SEVROLL Pax horná vodiaca lišta 3m čierna mat</v>
      </c>
      <c r="H294" s="1">
        <v>3000</v>
      </c>
      <c r="I294" s="1" t="str">
        <f>CONCATENATE(H294,"-",$J$17)</f>
        <v>3000-čierna mat</v>
      </c>
    </row>
    <row r="295" spans="1:9" ht="15" customHeight="1">
      <c r="A295" s="52">
        <f t="shared" ref="A295:A301" si="32">+D295</f>
        <v>0</v>
      </c>
      <c r="B295" s="182" t="s">
        <v>2698</v>
      </c>
      <c r="D295" s="53"/>
      <c r="E295" s="52"/>
      <c r="F295" s="52"/>
      <c r="G295" s="1" t="e">
        <f>+VLOOKUP(A295,#REF!,4,FALSE)</f>
        <v>#REF!</v>
      </c>
      <c r="H295" s="1" t="s">
        <v>84</v>
      </c>
    </row>
    <row r="296" spans="1:9" ht="15" customHeight="1">
      <c r="A296" s="52">
        <f t="shared" si="32"/>
        <v>224146</v>
      </c>
      <c r="B296" s="183"/>
      <c r="C296" s="1" t="str">
        <f>CONCATENATE(H296,"-",$J$4)</f>
        <v xml:space="preserve">1500-strieborná </v>
      </c>
      <c r="D296" s="53">
        <v>224146</v>
      </c>
      <c r="E296" s="52" t="str">
        <f>+VLOOKUP(A296,cennik!$A:$G,2,FALSE)</f>
        <v>SEVROLL hor.vod.lišta Simple/Blue 1,5m(10mm)str.</v>
      </c>
      <c r="F296" s="52" t="str">
        <f>+VLOOKUP(A296,cennik!A:B,2,FALSE)</f>
        <v>SEVROLL hor.vod.lišta Simple/Blue 1,5m(10mm)str.</v>
      </c>
      <c r="H296" s="1">
        <v>1500</v>
      </c>
      <c r="I296" s="1" t="str">
        <f>CONCATENATE(H296,"-",$J$4)</f>
        <v xml:space="preserve">1500-strieborná </v>
      </c>
    </row>
    <row r="297" spans="1:9" ht="15" customHeight="1">
      <c r="A297" s="52">
        <f t="shared" si="32"/>
        <v>224147</v>
      </c>
      <c r="B297" s="183"/>
      <c r="C297" s="1" t="str">
        <f>CONCATENATE(H297,"-",$J$4)</f>
        <v xml:space="preserve">2000-strieborná </v>
      </c>
      <c r="D297" s="53">
        <v>224147</v>
      </c>
      <c r="E297" s="52" t="str">
        <f>+VLOOKUP(A297,cennik!$A:$G,2,FALSE)</f>
        <v>SEVROLL hor.vod.lišta Simple/Blue 2m(10mm)str.</v>
      </c>
      <c r="F297" s="52" t="str">
        <f>+VLOOKUP(A297,cennik!A:B,2,FALSE)</f>
        <v>SEVROLL hor.vod.lišta Simple/Blue 2m(10mm)str.</v>
      </c>
      <c r="H297" s="1">
        <v>2000</v>
      </c>
      <c r="I297" s="1" t="str">
        <f>CONCATENATE(H297,"-",$J$4)</f>
        <v xml:space="preserve">2000-strieborná </v>
      </c>
    </row>
    <row r="298" spans="1:9" ht="15" customHeight="1">
      <c r="A298" s="52">
        <f t="shared" si="32"/>
        <v>222573</v>
      </c>
      <c r="B298" s="183"/>
      <c r="C298" s="1" t="str">
        <f>CONCATENATE(H298,"-",$J$4)</f>
        <v xml:space="preserve">3000-strieborná </v>
      </c>
      <c r="D298" s="53">
        <v>222573</v>
      </c>
      <c r="E298" s="52" t="str">
        <f>+VLOOKUP(A298,cennik!$A:$G,2,FALSE)</f>
        <v>SEVROLL horná vod.lišta Simple/Blue 3m(10mm)str.</v>
      </c>
      <c r="F298" s="52" t="str">
        <f>+VLOOKUP(A298,cennik!A:B,2,FALSE)</f>
        <v>SEVROLL horná vod.lišta Simple/Blue 3m(10mm)str.</v>
      </c>
      <c r="H298" s="1">
        <v>3000</v>
      </c>
      <c r="I298" s="1" t="str">
        <f>CONCATENATE(H298,"-",$J$4)</f>
        <v xml:space="preserve">3000-strieborná </v>
      </c>
    </row>
    <row r="299" spans="1:9" ht="15" customHeight="1">
      <c r="A299" s="52">
        <f t="shared" si="32"/>
        <v>224149</v>
      </c>
      <c r="B299" s="183"/>
      <c r="C299" s="1" t="str">
        <f>CONCATENATE(H299,"-",$J$6)</f>
        <v>1500-oliva</v>
      </c>
      <c r="D299" s="53">
        <v>224149</v>
      </c>
      <c r="E299" s="52" t="str">
        <f>+VLOOKUP(A299,cennik!$A:$G,2,FALSE)</f>
        <v>SEVROLL hor.vod.lišta Simple/Blue 1,5m(10mm)oliva</v>
      </c>
      <c r="F299" s="52" t="str">
        <f>+VLOOKUP(A299,cennik!A:B,2,FALSE)</f>
        <v>SEVROLL hor.vod.lišta Simple/Blue 1,5m(10mm)oliva</v>
      </c>
      <c r="H299" s="1">
        <v>1500</v>
      </c>
      <c r="I299" s="1" t="str">
        <f>CONCATENATE(H299,"-",$J$6)</f>
        <v>1500-oliva</v>
      </c>
    </row>
    <row r="300" spans="1:9" ht="15" customHeight="1">
      <c r="A300" s="52">
        <f t="shared" si="32"/>
        <v>224150</v>
      </c>
      <c r="B300" s="183"/>
      <c r="C300" s="1" t="str">
        <f>CONCATENATE(H300,"-",$J$6)</f>
        <v>2000-oliva</v>
      </c>
      <c r="D300" s="53">
        <v>224150</v>
      </c>
      <c r="E300" s="52" t="str">
        <f>+VLOOKUP(A300,cennik!$A:$G,2,FALSE)</f>
        <v>SEVROLL hor.vod.lišta Simple/Blue 2m(10mm)oliva</v>
      </c>
      <c r="F300" s="52" t="str">
        <f>+VLOOKUP(A300,cennik!A:B,2,FALSE)</f>
        <v>SEVROLL hor.vod.lišta Simple/Blue 2m(10mm)oliva</v>
      </c>
      <c r="H300" s="1">
        <v>2000</v>
      </c>
      <c r="I300" s="1" t="str">
        <f>CONCATENATE(H300,"-",$J$6)</f>
        <v>2000-oliva</v>
      </c>
    </row>
    <row r="301" spans="1:9" ht="15" customHeight="1">
      <c r="A301" s="52">
        <f t="shared" si="32"/>
        <v>223563</v>
      </c>
      <c r="B301" s="183"/>
      <c r="C301" s="1" t="str">
        <f>CONCATENATE(H301,"-",$J$6)</f>
        <v>3000-oliva</v>
      </c>
      <c r="D301" s="53">
        <v>223563</v>
      </c>
      <c r="E301" s="52" t="str">
        <f>+VLOOKUP(A301,cennik!$A:$G,2,FALSE)</f>
        <v>SEVROLL horná vod.lišta Simple/Blue 3m(10mm)oliva</v>
      </c>
      <c r="F301" s="52" t="str">
        <f>+VLOOKUP(A301,cennik!A:B,2,FALSE)</f>
        <v>SEVROLL horná vod.lišta Simple/Blue 3m(10mm)oliva</v>
      </c>
      <c r="H301" s="1">
        <v>3000</v>
      </c>
      <c r="I301" s="1" t="str">
        <f>CONCATENATE(H301,"-",$J$6)</f>
        <v>3000-oliva</v>
      </c>
    </row>
    <row r="302" spans="1:9" ht="15" customHeight="1">
      <c r="A302" s="52"/>
      <c r="B302" s="182" t="s">
        <v>2699</v>
      </c>
      <c r="D302" s="53"/>
      <c r="E302" s="52"/>
      <c r="F302" s="52"/>
    </row>
    <row r="303" spans="1:9" ht="15" customHeight="1">
      <c r="A303" s="52">
        <f>+D303</f>
        <v>224131</v>
      </c>
      <c r="B303" s="183"/>
      <c r="C303" s="1" t="str">
        <f>CONCATENATE(H303,"-",$J$4)</f>
        <v xml:space="preserve">1500-strieborná </v>
      </c>
      <c r="D303" s="53">
        <v>224131</v>
      </c>
      <c r="E303" s="52" t="str">
        <f>+VLOOKUP(A303,cennik!$A:$G,2,FALSE)</f>
        <v>SEVROLL hor.vod.lišta Simple/Blue 1,5m(18mm)</v>
      </c>
      <c r="F303" s="52" t="str">
        <f>+VLOOKUP(A303,cennik!A:B,2,FALSE)</f>
        <v>SEVROLL hor.vod.lišta Simple/Blue 1,5m(18mm)</v>
      </c>
      <c r="H303" s="1">
        <v>1500</v>
      </c>
      <c r="I303" s="1" t="str">
        <f>CONCATENATE(H303,"-",$J$4)</f>
        <v xml:space="preserve">1500-strieborná </v>
      </c>
    </row>
    <row r="304" spans="1:9" ht="15" customHeight="1">
      <c r="A304" s="52">
        <f t="shared" ref="A304:A312" si="33">+D304</f>
        <v>224132</v>
      </c>
      <c r="B304" s="183"/>
      <c r="C304" s="1" t="str">
        <f>CONCATENATE(H304,"-",$J$4)</f>
        <v xml:space="preserve">2000-strieborná </v>
      </c>
      <c r="D304" s="53">
        <v>224132</v>
      </c>
      <c r="E304" s="52" t="str">
        <f>+VLOOKUP(A304,cennik!$A:$G,2,FALSE)</f>
        <v>SEVROLL hor.vod.lišta Simple/Blue 2m(18mm) s</v>
      </c>
      <c r="F304" s="52" t="str">
        <f>+VLOOKUP(A304,cennik!A:B,2,FALSE)</f>
        <v>SEVROLL hor.vod.lišta Simple/Blue 2m(18mm) s</v>
      </c>
      <c r="H304" s="1">
        <v>2000</v>
      </c>
      <c r="I304" s="1" t="str">
        <f>CONCATENATE(H304,"-",$J$4)</f>
        <v xml:space="preserve">2000-strieborná </v>
      </c>
    </row>
    <row r="305" spans="1:9" ht="15" customHeight="1">
      <c r="A305" s="52">
        <f t="shared" si="33"/>
        <v>222571</v>
      </c>
      <c r="B305" s="183"/>
      <c r="C305" s="1" t="str">
        <f>CONCATENATE(H305,"-",$J$4)</f>
        <v xml:space="preserve">3000-strieborná </v>
      </c>
      <c r="D305" s="53">
        <v>222571</v>
      </c>
      <c r="E305" s="52" t="str">
        <f>+VLOOKUP(A305,cennik!$A:$G,2,FALSE)</f>
        <v>SEVROLL hor.vod.lišta Simple 3m(18mm) str.</v>
      </c>
      <c r="F305" s="52" t="str">
        <f>+VLOOKUP(A305,cennik!A:B,2,FALSE)</f>
        <v>SEVROLL hor.vod.lišta Simple 3m(18mm) str.</v>
      </c>
      <c r="H305" s="1">
        <v>3000</v>
      </c>
      <c r="I305" s="1" t="str">
        <f>CONCATENATE(H305,"-",$J$4)</f>
        <v xml:space="preserve">3000-strieborná </v>
      </c>
    </row>
    <row r="306" spans="1:9" ht="15" customHeight="1">
      <c r="A306" s="575">
        <v>394267</v>
      </c>
      <c r="B306" s="575"/>
      <c r="C306" s="575" t="str">
        <f t="shared" ref="C306" si="34">CONCATENATE(H306,"-",$J$15)</f>
        <v>1500-biela lesk</v>
      </c>
      <c r="D306" s="575">
        <v>394267</v>
      </c>
      <c r="E306" s="573" t="str">
        <f>+VLOOKUP(A306,cennik!$A:$G,2,FALSE)</f>
        <v>SEVROLL hor.vod.lišta Simple 2m (18mm) biela lesk</v>
      </c>
      <c r="F306" s="573" t="str">
        <f>+VLOOKUP(A306,cennik!A:B,2,FALSE)</f>
        <v>SEVROLL hor.vod.lišta Simple 2m (18mm) biela lesk</v>
      </c>
      <c r="G306" s="575"/>
      <c r="H306" s="575">
        <v>1500</v>
      </c>
      <c r="I306" s="575" t="str">
        <f t="shared" ref="I306:I308" si="35">CONCATENATE(H306,"-",$J$15)</f>
        <v>1500-biela lesk</v>
      </c>
    </row>
    <row r="307" spans="1:9" ht="15" customHeight="1">
      <c r="A307" s="575">
        <v>394267</v>
      </c>
      <c r="B307" s="575"/>
      <c r="C307" s="575" t="str">
        <f t="shared" ref="C307:C308" si="36">CONCATENATE(H307,"-",$J$15)</f>
        <v>2000-biela lesk</v>
      </c>
      <c r="D307" s="575">
        <v>394267</v>
      </c>
      <c r="E307" s="573" t="str">
        <f>+VLOOKUP(A307,cennik!$A:$G,2,FALSE)</f>
        <v>SEVROLL hor.vod.lišta Simple 2m (18mm) biela lesk</v>
      </c>
      <c r="F307" s="573" t="str">
        <f>+VLOOKUP(A307,cennik!A:B,2,FALSE)</f>
        <v>SEVROLL hor.vod.lišta Simple 2m (18mm) biela lesk</v>
      </c>
      <c r="G307" s="575"/>
      <c r="H307" s="575">
        <v>2000</v>
      </c>
      <c r="I307" s="575" t="str">
        <f t="shared" si="35"/>
        <v>2000-biela lesk</v>
      </c>
    </row>
    <row r="308" spans="1:9" ht="15" customHeight="1">
      <c r="A308" s="575">
        <v>394270</v>
      </c>
      <c r="B308" s="575"/>
      <c r="C308" s="575" t="str">
        <f t="shared" si="36"/>
        <v>3000-biela lesk</v>
      </c>
      <c r="D308" s="575">
        <v>394270</v>
      </c>
      <c r="E308" s="573" t="str">
        <f>+VLOOKUP(A308,cennik!$A:$G,2,FALSE)</f>
        <v>SEVROLL hor.vod.lišta Simple 3m(18mm) biela lesk</v>
      </c>
      <c r="F308" s="573" t="str">
        <f>+VLOOKUP(A308,cennik!A:B,2,FALSE)</f>
        <v>SEVROLL hor.vod.lišta Simple 3m(18mm) biela lesk</v>
      </c>
      <c r="G308" s="575"/>
      <c r="H308" s="575">
        <v>3000</v>
      </c>
      <c r="I308" s="575" t="str">
        <f t="shared" si="35"/>
        <v>3000-biela lesk</v>
      </c>
    </row>
    <row r="309" spans="1:9" ht="15" customHeight="1">
      <c r="A309" s="52">
        <f t="shared" si="33"/>
        <v>224134</v>
      </c>
      <c r="B309" s="183"/>
      <c r="C309" s="1" t="str">
        <f>CONCATENATE(H309,"-",$J$6)</f>
        <v>1500-oliva</v>
      </c>
      <c r="D309" s="53">
        <v>224134</v>
      </c>
      <c r="E309" s="52" t="str">
        <f>+VLOOKUP(A309,cennik!$A:$G,2,FALSE)</f>
        <v>SEVROLL horná vodiaca lišta Simple/Blue 1,5m</v>
      </c>
      <c r="F309" s="52" t="str">
        <f>+VLOOKUP(A309,cennik!A:B,2,FALSE)</f>
        <v>SEVROLL horná vodiaca lišta Simple/Blue 1,5m</v>
      </c>
      <c r="H309" s="1">
        <v>1500</v>
      </c>
      <c r="I309" s="1" t="str">
        <f>CONCATENATE(H309,"-",$J$6)</f>
        <v>1500-oliva</v>
      </c>
    </row>
    <row r="310" spans="1:9" ht="15" customHeight="1">
      <c r="A310" s="52">
        <f t="shared" si="33"/>
        <v>224135</v>
      </c>
      <c r="B310" s="183"/>
      <c r="C310" s="1" t="str">
        <f>CONCATENATE(H310,"-",$J$6)</f>
        <v>2000-oliva</v>
      </c>
      <c r="D310" s="53">
        <v>224135</v>
      </c>
      <c r="E310" s="52" t="str">
        <f>+VLOOKUP(A310,cennik!$A:$G,2,FALSE)</f>
        <v>SEVROLL horná vodiaca lišta Simple/Blue 2m (</v>
      </c>
      <c r="F310" s="52" t="str">
        <f>+VLOOKUP(A310,cennik!A:B,2,FALSE)</f>
        <v>SEVROLL horná vodiaca lišta Simple/Blue 2m (</v>
      </c>
      <c r="H310" s="1">
        <v>2000</v>
      </c>
      <c r="I310" s="1" t="str">
        <f>CONCATENATE(H310,"-",$J$6)</f>
        <v>2000-oliva</v>
      </c>
    </row>
    <row r="311" spans="1:9" ht="15" customHeight="1">
      <c r="A311" s="52">
        <f t="shared" si="33"/>
        <v>223561</v>
      </c>
      <c r="B311" s="183"/>
      <c r="C311" s="1" t="str">
        <f>CONCATENATE(H311,"-",$J$6)</f>
        <v>3000-oliva</v>
      </c>
      <c r="D311" s="53">
        <v>223561</v>
      </c>
      <c r="E311" s="52" t="str">
        <f>+VLOOKUP(A311,cennik!$A:$G,2,FALSE)</f>
        <v>SEVROLL horná vodiaca lišta Simple/Blue 3m(</v>
      </c>
      <c r="F311" s="52" t="str">
        <f>+VLOOKUP(A311,cennik!A:B,2,FALSE)</f>
        <v>SEVROLL horná vodiaca lišta Simple/Blue 3m(</v>
      </c>
      <c r="H311" s="1">
        <v>3000</v>
      </c>
      <c r="I311" s="1" t="str">
        <f>CONCATENATE(H311,"-",$J$6)</f>
        <v>3000-oliva</v>
      </c>
    </row>
    <row r="312" spans="1:9" s="557" customFormat="1" ht="15" customHeight="1">
      <c r="A312" s="52">
        <f t="shared" si="33"/>
        <v>0</v>
      </c>
      <c r="B312" s="183"/>
      <c r="C312" s="1"/>
      <c r="D312" s="53"/>
      <c r="E312" s="52"/>
      <c r="F312" s="52"/>
      <c r="G312" s="1"/>
      <c r="H312" s="1"/>
      <c r="I312" s="1"/>
    </row>
    <row r="313" spans="1:9" s="557" customFormat="1" ht="15" customHeight="1">
      <c r="A313" s="52">
        <f>+D313</f>
        <v>0</v>
      </c>
      <c r="B313" s="52"/>
      <c r="C313" s="1"/>
      <c r="D313" s="53"/>
      <c r="E313" s="52" t="e">
        <f>+VLOOKUP(A313,cennik!$A:$G,2,FALSE)</f>
        <v>#N/A</v>
      </c>
      <c r="F313" s="52" t="e">
        <f>+VLOOKUP(A313,cennik!A:B,2,FALSE)</f>
        <v>#N/A</v>
      </c>
      <c r="G313" s="1" t="e">
        <f>+VLOOKUP(A313,#REF!,4,FALSE)</f>
        <v>#REF!</v>
      </c>
      <c r="H313" s="1" t="s">
        <v>84</v>
      </c>
      <c r="I313" s="1"/>
    </row>
    <row r="314" spans="1:9" s="557" customFormat="1" ht="15" customHeight="1">
      <c r="A314" s="52">
        <f>+D314</f>
        <v>0</v>
      </c>
      <c r="B314" s="52" t="s">
        <v>31</v>
      </c>
      <c r="C314" s="1"/>
      <c r="D314" s="53"/>
      <c r="E314" s="52" t="e">
        <f>+VLOOKUP(A314,cennik!$A:$G,2,FALSE)</f>
        <v>#N/A</v>
      </c>
      <c r="F314" s="52" t="e">
        <f>+VLOOKUP(A314,cennik!A:B,2,FALSE)</f>
        <v>#N/A</v>
      </c>
      <c r="G314" s="1" t="e">
        <f>+VLOOKUP(A314,#REF!,4,FALSE)</f>
        <v>#REF!</v>
      </c>
      <c r="H314" s="1" t="s">
        <v>84</v>
      </c>
      <c r="I314" s="1"/>
    </row>
    <row r="315" spans="1:9" s="557" customFormat="1" ht="15" customHeight="1">
      <c r="A315" s="559">
        <f>+D315</f>
        <v>89228</v>
      </c>
      <c r="B315" s="559"/>
      <c r="C315" s="557" t="str">
        <f>CONCATENATE(H315,"-",$J$4)</f>
        <v xml:space="preserve">1700-strieborná </v>
      </c>
      <c r="D315" s="561">
        <v>89228</v>
      </c>
      <c r="E315" s="559" t="str">
        <f>+VLOOKUP(A315,cennik!$A:$G,2,FALSE)</f>
        <v>SEVROLL spodná krycia lišta 1,7m strieborná</v>
      </c>
      <c r="F315" s="559" t="str">
        <f>+VLOOKUP(A315,cennik!A:B,2,FALSE)</f>
        <v>SEVROLL spodná krycia lišta 1,7m strieborná</v>
      </c>
      <c r="G315" s="557" t="e">
        <f>+VLOOKUP(A315,#REF!,4,FALSE)</f>
        <v>#REF!</v>
      </c>
      <c r="H315" s="557" t="s">
        <v>541</v>
      </c>
      <c r="I315" s="557" t="str">
        <f>CONCATENATE(H315,"-",$J$4)</f>
        <v xml:space="preserve">1700-strieborná </v>
      </c>
    </row>
    <row r="316" spans="1:9" s="557" customFormat="1" ht="15" customHeight="1">
      <c r="A316" s="559">
        <f>+D316</f>
        <v>89229</v>
      </c>
      <c r="B316" s="559"/>
      <c r="C316" s="557" t="str">
        <f>CONCATENATE(H316,"-",$J$6)</f>
        <v>1700-oliva</v>
      </c>
      <c r="D316" s="561">
        <v>89229</v>
      </c>
      <c r="E316" s="559" t="str">
        <f>+VLOOKUP(A316,cennik!$A:$G,2,FALSE)</f>
        <v>SEVROLL spodná krycia lišta 1,7m oliva</v>
      </c>
      <c r="F316" s="559" t="str">
        <f>+VLOOKUP(A316,cennik!A:B,2,FALSE)</f>
        <v>SEVROLL spodná krycia lišta 1,7m oliva</v>
      </c>
      <c r="G316" s="557" t="e">
        <f>+VLOOKUP(A316,#REF!,4,FALSE)</f>
        <v>#REF!</v>
      </c>
      <c r="H316" s="557" t="s">
        <v>541</v>
      </c>
      <c r="I316" s="557" t="str">
        <f>CONCATENATE(H316,"-",$J$6)</f>
        <v>1700-oliva</v>
      </c>
    </row>
    <row r="317" spans="1:9" s="557" customFormat="1" ht="15" customHeight="1">
      <c r="A317" s="559">
        <f>+D317</f>
        <v>89254</v>
      </c>
      <c r="B317" s="559"/>
      <c r="C317" s="557" t="str">
        <f>CONCATENATE(H317,"-",$J$5)</f>
        <v>1700-zlatá</v>
      </c>
      <c r="D317" s="561">
        <v>89254</v>
      </c>
      <c r="E317" s="559" t="str">
        <f>+VLOOKUP(A317,cennik!$A:$G,2,FALSE)</f>
        <v>SEVROLL spodná krycia lišta 1,7m zlatá</v>
      </c>
      <c r="F317" s="559" t="str">
        <f>+VLOOKUP(A317,cennik!A:B,2,FALSE)</f>
        <v>SEVROLL spodná krycia lišta 1,7m zlatá</v>
      </c>
      <c r="G317" s="557" t="e">
        <f>+VLOOKUP(A317,#REF!,4,FALSE)</f>
        <v>#REF!</v>
      </c>
      <c r="H317" s="557" t="s">
        <v>541</v>
      </c>
      <c r="I317" s="557" t="str">
        <f>CONCATENATE(H317,"-",$J$5)</f>
        <v>1700-zlatá</v>
      </c>
    </row>
    <row r="318" spans="1:9" s="557" customFormat="1" ht="15" customHeight="1">
      <c r="A318" s="559">
        <f t="shared" ref="A318:A552" si="37">+D318</f>
        <v>89226</v>
      </c>
      <c r="B318" s="559"/>
      <c r="C318" s="557" t="str">
        <f>CONCATENATE(H318,"-",$J$4)</f>
        <v xml:space="preserve">2350-strieborná </v>
      </c>
      <c r="D318" s="561">
        <v>89226</v>
      </c>
      <c r="E318" s="559" t="str">
        <f>+VLOOKUP(A318,cennik!$A:$G,2,FALSE)</f>
        <v>SEVROLL spodná krycia lišta 2,35m strieborná</v>
      </c>
      <c r="F318" s="559" t="str">
        <f>+VLOOKUP(A318,cennik!A:B,2,FALSE)</f>
        <v>SEVROLL spodná krycia lišta 2,35m strieborná</v>
      </c>
      <c r="G318" s="557" t="e">
        <f>+VLOOKUP(A318,#REF!,4,FALSE)</f>
        <v>#REF!</v>
      </c>
      <c r="H318" s="557" t="s">
        <v>542</v>
      </c>
      <c r="I318" s="557" t="str">
        <f>CONCATENATE(H318,"-",$J$4)</f>
        <v xml:space="preserve">2350-strieborná </v>
      </c>
    </row>
    <row r="319" spans="1:9" s="557" customFormat="1" ht="15" customHeight="1">
      <c r="A319" s="559">
        <f t="shared" si="37"/>
        <v>89227</v>
      </c>
      <c r="B319" s="559"/>
      <c r="C319" s="557" t="str">
        <f>CONCATENATE(H319,"-",$J$6)</f>
        <v>2350-oliva</v>
      </c>
      <c r="D319" s="561">
        <v>89227</v>
      </c>
      <c r="E319" s="559" t="str">
        <f>+VLOOKUP(A319,cennik!$A:$G,2,FALSE)</f>
        <v>SEVROLL spodná krycia lišta 2,35m oliva</v>
      </c>
      <c r="F319" s="559" t="str">
        <f>+VLOOKUP(A319,cennik!A:B,2,FALSE)</f>
        <v>SEVROLL spodná krycia lišta 2,35m oliva</v>
      </c>
      <c r="G319" s="557" t="e">
        <f>+VLOOKUP(A319,#REF!,4,FALSE)</f>
        <v>#REF!</v>
      </c>
      <c r="H319" s="557" t="s">
        <v>542</v>
      </c>
      <c r="I319" s="557" t="str">
        <f>CONCATENATE(H319,"-",$J$6)</f>
        <v>2350-oliva</v>
      </c>
    </row>
    <row r="320" spans="1:9" s="557" customFormat="1" ht="15" customHeight="1">
      <c r="A320" s="559">
        <f t="shared" si="37"/>
        <v>89255</v>
      </c>
      <c r="B320" s="559"/>
      <c r="C320" s="557" t="str">
        <f>CONCATENATE(H320,"-",$J$5)</f>
        <v>2350-zlatá</v>
      </c>
      <c r="D320" s="561">
        <v>89255</v>
      </c>
      <c r="E320" s="559" t="str">
        <f>+VLOOKUP(A320,cennik!$A:$G,2,FALSE)</f>
        <v>SEVROLL spodná krycia lišta 2,35m zlatá</v>
      </c>
      <c r="F320" s="559" t="str">
        <f>+VLOOKUP(A320,cennik!A:B,2,FALSE)</f>
        <v>SEVROLL spodná krycia lišta 2,35m zlatá</v>
      </c>
      <c r="G320" s="557" t="e">
        <f>+VLOOKUP(A320,#REF!,4,FALSE)</f>
        <v>#REF!</v>
      </c>
      <c r="H320" s="557" t="s">
        <v>542</v>
      </c>
      <c r="I320" s="557" t="str">
        <f>CONCATENATE(H320,"-",$J$5)</f>
        <v>2350-zlatá</v>
      </c>
    </row>
    <row r="321" spans="1:9" s="557" customFormat="1" ht="15" customHeight="1">
      <c r="A321" s="559">
        <f t="shared" si="37"/>
        <v>89224</v>
      </c>
      <c r="B321" s="559"/>
      <c r="C321" s="557" t="str">
        <f>CONCATENATE(H321,"-",$J$4)</f>
        <v xml:space="preserve">3000-strieborná </v>
      </c>
      <c r="D321" s="561">
        <v>89224</v>
      </c>
      <c r="E321" s="559" t="str">
        <f>+VLOOKUP(A321,cennik!$A:$G,2,FALSE)</f>
        <v>SEVROLL spodná krycia lišta 3m strieborná</v>
      </c>
      <c r="F321" s="559" t="str">
        <f>+VLOOKUP(A321,cennik!A:B,2,FALSE)</f>
        <v>SEVROLL spodná krycia lišta 3m strieborná</v>
      </c>
      <c r="G321" s="557" t="e">
        <f>+VLOOKUP(A321,#REF!,4,FALSE)</f>
        <v>#REF!</v>
      </c>
      <c r="H321" s="557" t="s">
        <v>543</v>
      </c>
      <c r="I321" s="557" t="str">
        <f>CONCATENATE(H321,"-",$J$4)</f>
        <v xml:space="preserve">3000-strieborná </v>
      </c>
    </row>
    <row r="322" spans="1:9" s="557" customFormat="1" ht="15" customHeight="1">
      <c r="A322" s="559">
        <f t="shared" si="37"/>
        <v>89225</v>
      </c>
      <c r="B322" s="559"/>
      <c r="C322" s="557" t="str">
        <f>CONCATENATE(H322,"-",$J$6)</f>
        <v>3000-oliva</v>
      </c>
      <c r="D322" s="561">
        <v>89225</v>
      </c>
      <c r="E322" s="559" t="str">
        <f>+VLOOKUP(A322,cennik!$A:$G,2,FALSE)</f>
        <v>SEVROLL spodná krycia lišta 3m oliva</v>
      </c>
      <c r="F322" s="559" t="str">
        <f>+VLOOKUP(A322,cennik!A:B,2,FALSE)</f>
        <v>SEVROLL spodná krycia lišta 3m oliva</v>
      </c>
      <c r="G322" s="557" t="e">
        <f>+VLOOKUP(A322,#REF!,4,FALSE)</f>
        <v>#REF!</v>
      </c>
      <c r="H322" s="557" t="s">
        <v>543</v>
      </c>
      <c r="I322" s="557" t="str">
        <f>CONCATENATE(H322,"-",$J$6)</f>
        <v>3000-oliva</v>
      </c>
    </row>
    <row r="323" spans="1:9" s="557" customFormat="1" ht="15" customHeight="1">
      <c r="A323" s="559">
        <f t="shared" si="37"/>
        <v>89256</v>
      </c>
      <c r="B323" s="559"/>
      <c r="C323" s="557" t="str">
        <f>CONCATENATE(H323,"-",$J$5)</f>
        <v>3000-zlatá</v>
      </c>
      <c r="D323" s="561">
        <v>89256</v>
      </c>
      <c r="E323" s="559" t="str">
        <f>+VLOOKUP(A323,cennik!$A:$G,2,FALSE)</f>
        <v>SEVROLL spodná krycia lišta 3m zlatá</v>
      </c>
      <c r="F323" s="559" t="str">
        <f>+VLOOKUP(A323,cennik!A:B,2,FALSE)</f>
        <v>SEVROLL spodná krycia lišta 3m zlatá</v>
      </c>
      <c r="G323" s="557" t="e">
        <f>+VLOOKUP(A323,#REF!,4,FALSE)</f>
        <v>#REF!</v>
      </c>
      <c r="H323" s="557" t="s">
        <v>543</v>
      </c>
      <c r="I323" s="557" t="str">
        <f>CONCATENATE(H323,"-",$J$5)</f>
        <v>3000-zlatá</v>
      </c>
    </row>
    <row r="324" spans="1:9" s="557" customFormat="1" ht="15" customHeight="1">
      <c r="A324" s="559">
        <f t="shared" si="37"/>
        <v>119417</v>
      </c>
      <c r="B324" s="559"/>
      <c r="C324" s="557" t="str">
        <f>CONCATENATE(H324,"-",$J$7)</f>
        <v>1700-oliva kartáčovaná</v>
      </c>
      <c r="D324" s="561">
        <v>119417</v>
      </c>
      <c r="E324" s="559" t="str">
        <f>+VLOOKUP(A324,cennik!$A:$G,2,FALSE)</f>
        <v>SEVROLL spod. krycia lišta 1,7m oliva kartáč</v>
      </c>
      <c r="F324" s="559" t="str">
        <f>+VLOOKUP(A324,cennik!A:B,2,FALSE)</f>
        <v>SEVROLL spod. krycia lišta 1,7m oliva kartáč</v>
      </c>
      <c r="G324" s="557" t="e">
        <f>+VLOOKUP(A324,#REF!,4,FALSE)</f>
        <v>#REF!</v>
      </c>
      <c r="H324" s="557" t="s">
        <v>541</v>
      </c>
      <c r="I324" s="557" t="str">
        <f>CONCATENATE(H324,"-",$J$7)</f>
        <v>1700-oliva kartáčovaná</v>
      </c>
    </row>
    <row r="325" spans="1:9" s="557" customFormat="1" ht="15" customHeight="1">
      <c r="A325" s="559">
        <f t="shared" si="37"/>
        <v>119421</v>
      </c>
      <c r="B325" s="559"/>
      <c r="C325" s="557" t="str">
        <f>CONCATENATE(H325,"-",$J$7)</f>
        <v>2350-oliva kartáčovaná</v>
      </c>
      <c r="D325" s="561">
        <v>119421</v>
      </c>
      <c r="E325" s="559" t="str">
        <f>+VLOOKUP(A325,cennik!$A:$G,2,FALSE)</f>
        <v>SEVROLL spod.krycia lišta 2,35m oliva kartáč</v>
      </c>
      <c r="F325" s="559" t="str">
        <f>+VLOOKUP(A325,cennik!A:B,2,FALSE)</f>
        <v>SEVROLL spod.krycia lišta 2,35m oliva kartáč</v>
      </c>
      <c r="G325" s="557" t="e">
        <f>+VLOOKUP(A325,#REF!,4,FALSE)</f>
        <v>#REF!</v>
      </c>
      <c r="H325" s="557" t="s">
        <v>542</v>
      </c>
      <c r="I325" s="557" t="str">
        <f>CONCATENATE(H325,"-",$J$7)</f>
        <v>2350-oliva kartáčovaná</v>
      </c>
    </row>
    <row r="326" spans="1:9" s="557" customFormat="1" ht="15" customHeight="1">
      <c r="A326" s="559">
        <f t="shared" si="37"/>
        <v>119422</v>
      </c>
      <c r="B326" s="559"/>
      <c r="C326" s="557" t="str">
        <f>CONCATENATE(H326,"-",$J$7)</f>
        <v>3000-oliva kartáčovaná</v>
      </c>
      <c r="D326" s="561">
        <v>119422</v>
      </c>
      <c r="E326" s="559" t="str">
        <f>+VLOOKUP(A326,cennik!$A:$G,2,FALSE)</f>
        <v>SEVROLL spod.krycia lišta 3m oliva kartáč.</v>
      </c>
      <c r="F326" s="559" t="str">
        <f>+VLOOKUP(A326,cennik!A:B,2,FALSE)</f>
        <v>SEVROLL spod.krycia lišta 3m oliva kartáč.</v>
      </c>
      <c r="G326" s="557" t="e">
        <f>+VLOOKUP(A326,#REF!,4,FALSE)</f>
        <v>#REF!</v>
      </c>
      <c r="H326" s="557" t="s">
        <v>543</v>
      </c>
      <c r="I326" s="557" t="str">
        <f>CONCATENATE(H326,"-",$J$7)</f>
        <v>3000-oliva kartáčovaná</v>
      </c>
    </row>
    <row r="327" spans="1:9" s="557" customFormat="1" ht="15" customHeight="1">
      <c r="A327" s="559">
        <f t="shared" si="37"/>
        <v>205170</v>
      </c>
      <c r="B327" s="559"/>
      <c r="C327" s="557" t="str">
        <f>CONCATENATE(H327,"-",$J$8)</f>
        <v>1700-kart. tm. oliva</v>
      </c>
      <c r="D327" s="561">
        <v>205170</v>
      </c>
      <c r="E327" s="559" t="str">
        <f>+VLOOKUP(A327,cennik!$A:$G,2,FALSE)</f>
        <v>SEVROLL sp.krycia lišta 1,7m oliva tm.kartáč</v>
      </c>
      <c r="F327" s="559" t="str">
        <f>+VLOOKUP(A327,cennik!A:B,2,FALSE)</f>
        <v>SEVROLL sp.krycia lišta 1,7m oliva tm.kartáč</v>
      </c>
      <c r="G327" s="557" t="e">
        <f>+VLOOKUP(A327,#REF!,4,FALSE)</f>
        <v>#REF!</v>
      </c>
      <c r="H327" s="557" t="s">
        <v>541</v>
      </c>
      <c r="I327" s="557" t="str">
        <f>CONCATENATE(H327,"-",$J$8)</f>
        <v>1700-kart. tm. oliva</v>
      </c>
    </row>
    <row r="328" spans="1:9" s="557" customFormat="1" ht="15" customHeight="1">
      <c r="A328" s="559">
        <f t="shared" si="37"/>
        <v>205172</v>
      </c>
      <c r="B328" s="559"/>
      <c r="C328" s="557" t="str">
        <f>CONCATENATE(H328,"-",$J$8)</f>
        <v>2350-kart. tm. oliva</v>
      </c>
      <c r="D328" s="561">
        <v>205172</v>
      </c>
      <c r="E328" s="559" t="str">
        <f>+VLOOKUP(A328,cennik!$A:$G,2,FALSE)</f>
        <v>SEVROLL sp.kryc.lišta 2,35m oliva tm.kartáč</v>
      </c>
      <c r="F328" s="559" t="str">
        <f>+VLOOKUP(A328,cennik!A:B,2,FALSE)</f>
        <v>SEVROLL sp.kryc.lišta 2,35m oliva tm.kartáč</v>
      </c>
      <c r="G328" s="557" t="e">
        <f>+VLOOKUP(A328,#REF!,4,FALSE)</f>
        <v>#REF!</v>
      </c>
      <c r="H328" s="557" t="s">
        <v>542</v>
      </c>
      <c r="I328" s="557" t="str">
        <f>CONCATENATE(H328,"-",$J$8)</f>
        <v>2350-kart. tm. oliva</v>
      </c>
    </row>
    <row r="329" spans="1:9" s="557" customFormat="1" ht="15" customHeight="1">
      <c r="A329" s="559">
        <f t="shared" si="37"/>
        <v>205174</v>
      </c>
      <c r="B329" s="559"/>
      <c r="C329" s="557" t="str">
        <f>CONCATENATE(H329,"-",$J$8)</f>
        <v>3000-kart. tm. oliva</v>
      </c>
      <c r="D329" s="561">
        <v>205174</v>
      </c>
      <c r="E329" s="559" t="str">
        <f>+VLOOKUP(A329,cennik!$A:$G,2,FALSE)</f>
        <v>SEVROLL spod.krycia lišta 3m oliva tm.kartáč</v>
      </c>
      <c r="F329" s="559" t="str">
        <f>+VLOOKUP(A329,cennik!A:B,2,FALSE)</f>
        <v>SEVROLL spod.krycia lišta 3m oliva tm.kartáč</v>
      </c>
      <c r="G329" s="557" t="e">
        <f>+VLOOKUP(A329,#REF!,4,FALSE)</f>
        <v>#REF!</v>
      </c>
      <c r="H329" s="557" t="s">
        <v>543</v>
      </c>
      <c r="I329" s="557" t="str">
        <f>CONCATENATE(H329,"-",$J$8)</f>
        <v>3000-kart. tm. oliva</v>
      </c>
    </row>
    <row r="330" spans="1:9" s="557" customFormat="1" ht="15" customHeight="1">
      <c r="A330" s="559">
        <f t="shared" si="37"/>
        <v>205171</v>
      </c>
      <c r="B330" s="559"/>
      <c r="C330" s="557" t="str">
        <f>CONCATENATE(H330,"-",$J$9)</f>
        <v>1700-kart. čierna</v>
      </c>
      <c r="D330" s="561">
        <v>205171</v>
      </c>
      <c r="E330" s="559" t="str">
        <f>+VLOOKUP(A330,cennik!$A:$G,2,FALSE)</f>
        <v>SEVROLL spod.krycia lišta 1,7m čierna kartáč</v>
      </c>
      <c r="F330" s="559" t="str">
        <f>+VLOOKUP(A330,cennik!A:B,2,FALSE)</f>
        <v>SEVROLL spod.krycia lišta 1,7m čierna kartáč</v>
      </c>
      <c r="H330" s="557" t="s">
        <v>541</v>
      </c>
      <c r="I330" s="557" t="str">
        <f>CONCATENATE(H330,"-",$J$9)</f>
        <v>1700-kart. čierna</v>
      </c>
    </row>
    <row r="331" spans="1:9" s="557" customFormat="1" ht="15" customHeight="1">
      <c r="A331" s="559">
        <f t="shared" si="37"/>
        <v>205173</v>
      </c>
      <c r="B331" s="559"/>
      <c r="C331" s="557" t="str">
        <f>CONCATENATE(H331,"-",$J$9)</f>
        <v>2350-kart. čierna</v>
      </c>
      <c r="D331" s="561">
        <v>205173</v>
      </c>
      <c r="E331" s="559" t="str">
        <f>+VLOOKUP(A331,cennik!$A:$G,2,FALSE)</f>
        <v>SEVROLL spod.krycia lišta 2,35m,čierna kartá</v>
      </c>
      <c r="F331" s="559" t="str">
        <f>+VLOOKUP(A331,cennik!A:B,2,FALSE)</f>
        <v>SEVROLL spod.krycia lišta 2,35m,čierna kartá</v>
      </c>
      <c r="H331" s="557" t="s">
        <v>542</v>
      </c>
      <c r="I331" s="557" t="str">
        <f>CONCATENATE(H331,"-",$J$9)</f>
        <v>2350-kart. čierna</v>
      </c>
    </row>
    <row r="332" spans="1:9" s="557" customFormat="1" ht="15" customHeight="1">
      <c r="A332" s="559">
        <f t="shared" si="37"/>
        <v>205175</v>
      </c>
      <c r="B332" s="559"/>
      <c r="C332" s="557" t="str">
        <f>CONCATENATE(H332,"-",$J$9)</f>
        <v>3000-kart. čierna</v>
      </c>
      <c r="D332" s="561">
        <v>205175</v>
      </c>
      <c r="E332" s="559" t="str">
        <f>+VLOOKUP(A332,cennik!$A:$G,2,FALSE)</f>
        <v>SEVROLL spod.krycia lišta 3m čierna kartáč</v>
      </c>
      <c r="F332" s="559" t="str">
        <f>+VLOOKUP(A332,cennik!A:B,2,FALSE)</f>
        <v>SEVROLL spod.krycia lišta 3m čierna kartáč</v>
      </c>
      <c r="H332" s="557" t="s">
        <v>543</v>
      </c>
      <c r="I332" s="557" t="str">
        <f>CONCATENATE(H332,"-",$J$9)</f>
        <v>3000-kart. čierna</v>
      </c>
    </row>
    <row r="333" spans="1:9" s="557" customFormat="1" ht="15" customHeight="1">
      <c r="A333" s="559">
        <f t="shared" si="37"/>
        <v>276736</v>
      </c>
      <c r="B333" s="559"/>
      <c r="C333" s="557" t="str">
        <f>CONCATENATE(H333,"-",$J$15)</f>
        <v>1700-biela lesk</v>
      </c>
      <c r="D333" s="561">
        <v>276736</v>
      </c>
      <c r="E333" s="559" t="str">
        <f>+VLOOKUP(A333,cennik!$A:$G,2,FALSE)</f>
        <v>SEVROLL spodná krycia lišta 1,7m biela les</v>
      </c>
      <c r="F333" s="559" t="str">
        <f>+VLOOKUP(A333,cennik!A:B,2,FALSE)</f>
        <v>SEVROLL spodná krycia lišta 1,7m biela les</v>
      </c>
      <c r="H333" s="557" t="s">
        <v>541</v>
      </c>
      <c r="I333" s="557" t="str">
        <f>CONCATENATE(H333,"-",$J$15)</f>
        <v>1700-biela lesk</v>
      </c>
    </row>
    <row r="334" spans="1:9" s="557" customFormat="1" ht="15" customHeight="1">
      <c r="A334" s="559">
        <f t="shared" si="37"/>
        <v>267954</v>
      </c>
      <c r="B334" s="559"/>
      <c r="C334" s="557" t="str">
        <f>CONCATENATE(H334,"-",$J$15)</f>
        <v>2350-biela lesk</v>
      </c>
      <c r="D334" s="561">
        <v>267954</v>
      </c>
      <c r="E334" s="559" t="str">
        <f>+VLOOKUP(A334,cennik!$A:$G,2,FALSE)</f>
        <v>SEVROLL spod.krycia lišta 2,35m biela lesk</v>
      </c>
      <c r="F334" s="559" t="str">
        <f>+VLOOKUP(A334,cennik!A:B,2,FALSE)</f>
        <v>SEVROLL spod.krycia lišta 2,35m biela lesk</v>
      </c>
      <c r="H334" s="557" t="s">
        <v>542</v>
      </c>
      <c r="I334" s="557" t="str">
        <f>CONCATENATE(H334,"-",$J$15)</f>
        <v>2350-biela lesk</v>
      </c>
    </row>
    <row r="335" spans="1:9" ht="15" customHeight="1">
      <c r="A335" s="559">
        <f t="shared" si="37"/>
        <v>265067</v>
      </c>
      <c r="B335" s="559"/>
      <c r="C335" s="557" t="str">
        <f>CONCATENATE(H335,"-",$J$15)</f>
        <v>3000-biela lesk</v>
      </c>
      <c r="D335" s="561">
        <v>265067</v>
      </c>
      <c r="E335" s="559" t="str">
        <f>+VLOOKUP(A335,cennik!$A:$G,2,FALSE)</f>
        <v>SEVROLL spodná krycia lišta 3m biela lesk</v>
      </c>
      <c r="F335" s="559" t="str">
        <f>+VLOOKUP(A335,cennik!A:B,2,FALSE)</f>
        <v>SEVROLL spodná krycia lišta 3m biela lesk</v>
      </c>
      <c r="G335" s="557"/>
      <c r="H335" s="557" t="s">
        <v>543</v>
      </c>
      <c r="I335" s="557" t="str">
        <f>CONCATENATE(H335,"-",$J$15)</f>
        <v>3000-biela lesk</v>
      </c>
    </row>
    <row r="336" spans="1:9" s="566" customFormat="1" ht="15" customHeight="1">
      <c r="A336" s="559">
        <f t="shared" si="37"/>
        <v>278059</v>
      </c>
      <c r="B336" s="559"/>
      <c r="C336" s="557" t="str">
        <f>CONCATENATE(H336,"-",$J$4)</f>
        <v xml:space="preserve">3000-strieborná </v>
      </c>
      <c r="D336" s="561">
        <v>278059</v>
      </c>
      <c r="E336" s="559" t="str">
        <f>+VLOOKUP(A336,cennik!$A:$G,2,FALSE)</f>
        <v>SEVROLL Pax spodná krycia lišta 3m stireb</v>
      </c>
      <c r="F336" s="559" t="str">
        <f>+VLOOKUP(A336,cennik!A:B,2,FALSE)</f>
        <v>SEVROLL Pax spodná krycia lišta 3m stireb</v>
      </c>
      <c r="G336" s="557"/>
      <c r="H336" s="557" t="s">
        <v>543</v>
      </c>
      <c r="I336" s="557" t="str">
        <f>CONCATENATE(H336,"-",$J$4)</f>
        <v xml:space="preserve">3000-strieborná </v>
      </c>
    </row>
    <row r="337" spans="1:9" s="566" customFormat="1" ht="15" customHeight="1">
      <c r="A337" s="559">
        <f t="shared" si="37"/>
        <v>284526</v>
      </c>
      <c r="B337" s="559"/>
      <c r="C337" s="557" t="str">
        <f>CONCATENATE(H337,"-",$J$15)</f>
        <v>3000-biela lesk</v>
      </c>
      <c r="D337" s="561">
        <v>284526</v>
      </c>
      <c r="E337" s="559" t="str">
        <f>+VLOOKUP(A337,cennik!$A:$G,2,FALSE)</f>
        <v>SEVROLL Pax spod.krycia lišta 3m RAL9003 les</v>
      </c>
      <c r="F337" s="559" t="str">
        <f>+VLOOKUP(A337,cennik!A:B,2,FALSE)</f>
        <v>SEVROLL Pax spod.krycia lišta 3m RAL9003 les</v>
      </c>
      <c r="G337" s="557"/>
      <c r="H337" s="557" t="s">
        <v>543</v>
      </c>
      <c r="I337" s="557" t="str">
        <f>CONCATENATE(H337,"-",$J$15)</f>
        <v>3000-biela lesk</v>
      </c>
    </row>
    <row r="338" spans="1:9" s="566" customFormat="1" ht="15" customHeight="1">
      <c r="A338" s="566">
        <v>422030</v>
      </c>
      <c r="C338" s="557" t="str">
        <f>CONCATENATE($H338,"-",$J$17)</f>
        <v>3000-čierna mat</v>
      </c>
      <c r="D338" s="566">
        <v>422030</v>
      </c>
      <c r="E338" s="567" t="s">
        <v>4765</v>
      </c>
      <c r="F338" s="567" t="s">
        <v>4765</v>
      </c>
      <c r="H338" s="566">
        <v>3000</v>
      </c>
      <c r="I338" s="557" t="str">
        <f>CONCATENATE($H338,"-",$J$17)</f>
        <v>3000-čierna mat</v>
      </c>
    </row>
    <row r="339" spans="1:9" s="566" customFormat="1" ht="15" customHeight="1">
      <c r="A339" s="566">
        <v>422036</v>
      </c>
      <c r="C339" s="557" t="str">
        <f t="shared" ref="C339:C345" si="38">CONCATENATE($H339,"-",$J$17)</f>
        <v>3000-čierna mat</v>
      </c>
      <c r="D339" s="566">
        <v>422036</v>
      </c>
      <c r="E339" s="567" t="s">
        <v>4768</v>
      </c>
      <c r="F339" s="567" t="s">
        <v>4768</v>
      </c>
      <c r="H339" s="566">
        <v>3000</v>
      </c>
      <c r="I339" s="557" t="str">
        <f t="shared" ref="I339:I345" si="39">CONCATENATE($H339,"-",$J$17)</f>
        <v>3000-čierna mat</v>
      </c>
    </row>
    <row r="340" spans="1:9" s="566" customFormat="1" ht="15" customHeight="1">
      <c r="A340" s="566">
        <v>405369</v>
      </c>
      <c r="C340" s="557" t="str">
        <f t="shared" si="38"/>
        <v>1700-čierna mat</v>
      </c>
      <c r="D340" s="568">
        <v>405369</v>
      </c>
      <c r="E340" s="567" t="s">
        <v>5428</v>
      </c>
      <c r="F340" s="567" t="s">
        <v>5428</v>
      </c>
      <c r="H340" s="566">
        <v>1700</v>
      </c>
      <c r="I340" s="557" t="str">
        <f t="shared" si="39"/>
        <v>1700-čierna mat</v>
      </c>
    </row>
    <row r="341" spans="1:9" s="566" customFormat="1" ht="15" customHeight="1">
      <c r="A341" s="566">
        <v>405375</v>
      </c>
      <c r="C341" s="557" t="str">
        <f t="shared" si="38"/>
        <v>1350-čierna mat</v>
      </c>
      <c r="D341" s="568">
        <v>405375</v>
      </c>
      <c r="E341" s="567" t="s">
        <v>5429</v>
      </c>
      <c r="F341" s="567" t="s">
        <v>5429</v>
      </c>
      <c r="H341" s="566">
        <v>1350</v>
      </c>
      <c r="I341" s="557" t="str">
        <f t="shared" si="39"/>
        <v>1350-čierna mat</v>
      </c>
    </row>
    <row r="342" spans="1:9" s="566" customFormat="1" ht="15" customHeight="1">
      <c r="A342" s="566">
        <v>405376</v>
      </c>
      <c r="C342" s="557" t="str">
        <f t="shared" si="38"/>
        <v>3000-čierna mat</v>
      </c>
      <c r="D342" s="568">
        <v>405376</v>
      </c>
      <c r="E342" s="567" t="s">
        <v>5430</v>
      </c>
      <c r="F342" s="567" t="s">
        <v>5430</v>
      </c>
      <c r="H342" s="566">
        <v>3000</v>
      </c>
      <c r="I342" s="557" t="str">
        <f t="shared" si="39"/>
        <v>3000-čierna mat</v>
      </c>
    </row>
    <row r="343" spans="1:9" s="557" customFormat="1" ht="15" customHeight="1">
      <c r="A343" s="566">
        <v>422027</v>
      </c>
      <c r="B343" s="566"/>
      <c r="C343" s="557" t="str">
        <f t="shared" si="38"/>
        <v>1700-čierna mat</v>
      </c>
      <c r="D343" s="566">
        <v>422027</v>
      </c>
      <c r="E343" s="567" t="s">
        <v>4763</v>
      </c>
      <c r="F343" s="567" t="s">
        <v>4763</v>
      </c>
      <c r="G343" s="566"/>
      <c r="H343" s="566">
        <v>1700</v>
      </c>
      <c r="I343" s="557" t="str">
        <f t="shared" si="39"/>
        <v>1700-čierna mat</v>
      </c>
    </row>
    <row r="344" spans="1:9" s="557" customFormat="1" ht="15" customHeight="1">
      <c r="A344" s="566">
        <v>422029</v>
      </c>
      <c r="B344" s="566"/>
      <c r="C344" s="557" t="str">
        <f t="shared" si="38"/>
        <v>2350-čierna mat</v>
      </c>
      <c r="D344" s="566">
        <v>422029</v>
      </c>
      <c r="E344" s="567" t="s">
        <v>4764</v>
      </c>
      <c r="F344" s="567" t="s">
        <v>4764</v>
      </c>
      <c r="G344" s="566"/>
      <c r="H344" s="566">
        <v>2350</v>
      </c>
      <c r="I344" s="557" t="str">
        <f t="shared" si="39"/>
        <v>2350-čierna mat</v>
      </c>
    </row>
    <row r="345" spans="1:9" s="557" customFormat="1" ht="15" customHeight="1">
      <c r="A345" s="566">
        <v>422032</v>
      </c>
      <c r="B345" s="566"/>
      <c r="C345" s="557" t="str">
        <f t="shared" si="38"/>
        <v>3000-čierna mat</v>
      </c>
      <c r="D345" s="566">
        <v>422032</v>
      </c>
      <c r="E345" s="567" t="s">
        <v>4766</v>
      </c>
      <c r="F345" s="567" t="s">
        <v>4766</v>
      </c>
      <c r="G345" s="566"/>
      <c r="H345" s="566">
        <v>3000</v>
      </c>
      <c r="I345" s="557" t="str">
        <f t="shared" si="39"/>
        <v>3000-čierna mat</v>
      </c>
    </row>
    <row r="346" spans="1:9" s="557" customFormat="1" ht="15" customHeight="1">
      <c r="A346" s="563">
        <v>452737</v>
      </c>
      <c r="B346" s="559"/>
      <c r="C346" s="557" t="str">
        <f>CONCATENATE($H346,"-",$J$16)</f>
        <v>3000-čierna lesk</v>
      </c>
      <c r="D346" s="563">
        <v>452737</v>
      </c>
      <c r="E346" s="563" t="s">
        <v>4728</v>
      </c>
      <c r="F346" s="563" t="s">
        <v>4728</v>
      </c>
      <c r="H346" s="557">
        <v>3000</v>
      </c>
      <c r="I346" s="557" t="str">
        <f>CONCATENATE($H346,"-",$J$16)</f>
        <v>3000-čierna lesk</v>
      </c>
    </row>
    <row r="347" spans="1:9" ht="15" customHeight="1">
      <c r="A347" s="559"/>
      <c r="B347" s="559"/>
      <c r="C347" s="557"/>
      <c r="D347" s="558"/>
      <c r="E347" s="559"/>
      <c r="F347" s="559"/>
      <c r="G347" s="557"/>
      <c r="H347" s="557"/>
      <c r="I347" s="557"/>
    </row>
    <row r="348" spans="1:9" ht="15" customHeight="1">
      <c r="A348" s="559"/>
      <c r="B348" s="559"/>
      <c r="C348" s="557"/>
      <c r="D348" s="558"/>
      <c r="E348" s="559"/>
      <c r="F348" s="559"/>
      <c r="G348" s="557"/>
      <c r="H348" s="557"/>
      <c r="I348" s="557"/>
    </row>
    <row r="349" spans="1:9" ht="15" customHeight="1">
      <c r="A349" s="559"/>
      <c r="B349" s="559"/>
      <c r="C349" s="557"/>
      <c r="D349" s="558"/>
      <c r="E349" s="559"/>
      <c r="F349" s="559"/>
      <c r="G349" s="557"/>
      <c r="H349" s="557"/>
      <c r="I349" s="557"/>
    </row>
    <row r="350" spans="1:9" s="571" customFormat="1" ht="15" customHeight="1">
      <c r="A350" s="52"/>
      <c r="B350" s="52" t="s">
        <v>1452</v>
      </c>
      <c r="C350" s="1"/>
      <c r="D350" s="1"/>
      <c r="E350" s="52"/>
      <c r="F350" s="52"/>
      <c r="G350" s="1"/>
      <c r="H350" s="1"/>
      <c r="I350" s="1"/>
    </row>
    <row r="351" spans="1:9" s="571" customFormat="1" ht="15" customHeight="1">
      <c r="A351" s="52">
        <f t="shared" ref="A351:A366" si="40">D351</f>
        <v>278056</v>
      </c>
      <c r="B351" s="52"/>
      <c r="C351" s="1" t="str">
        <f>$J$4</f>
        <v xml:space="preserve">strieborná </v>
      </c>
      <c r="D351" s="53">
        <v>278056</v>
      </c>
      <c r="E351" s="52" t="str">
        <f>+VLOOKUP(A351,cennik!$A:$G,2,FALSE)</f>
        <v>SEVROLL Pax úch.lišta 2,7 strieborná</v>
      </c>
      <c r="F351" s="52" t="str">
        <f>+VLOOKUP(A351,cennik!A:B,2,FALSE)</f>
        <v>SEVROLL Pax úch.lišta 2,7 strieborná</v>
      </c>
      <c r="G351" s="1"/>
      <c r="H351" s="1">
        <v>2700</v>
      </c>
      <c r="I351" s="1" t="str">
        <f>$J$4</f>
        <v xml:space="preserve">strieborná </v>
      </c>
    </row>
    <row r="352" spans="1:9" ht="15" customHeight="1">
      <c r="A352" s="52">
        <f t="shared" si="40"/>
        <v>284521</v>
      </c>
      <c r="B352" s="181"/>
      <c r="C352" s="1" t="str">
        <f>$J$15</f>
        <v>biela lesk</v>
      </c>
      <c r="D352" s="53">
        <v>284521</v>
      </c>
      <c r="E352" s="52" t="str">
        <f>+VLOOKUP(A352,cennik!$A:$G,2,FALSE)</f>
        <v>SEVROLL Pax úchytová lišta 2,7m RAL9003 lesk</v>
      </c>
      <c r="F352" s="52" t="str">
        <f>+VLOOKUP(A352,cennik!A:B,2,FALSE)</f>
        <v>SEVROLL Pax úchytová lišta 2,7m RAL9003 lesk</v>
      </c>
      <c r="H352" s="1">
        <v>2700</v>
      </c>
      <c r="I352" s="1" t="str">
        <f>$J$15</f>
        <v>biela lesk</v>
      </c>
    </row>
    <row r="353" spans="1:9" ht="15" customHeight="1">
      <c r="A353" s="571">
        <v>456332</v>
      </c>
      <c r="B353" s="571"/>
      <c r="C353" s="571" t="str">
        <f>$J$17</f>
        <v>čierna mat</v>
      </c>
      <c r="D353" s="572">
        <v>456332</v>
      </c>
      <c r="E353" s="52" t="str">
        <f>+VLOOKUP(A353,cennik!$A:$G,2,FALSE)</f>
        <v>SEVROLL Pax úchytová lišta 2,7m čierna mat</v>
      </c>
      <c r="F353" s="52" t="str">
        <f>+VLOOKUP(A353,cennik!A:B,2,FALSE)</f>
        <v>SEVROLL Pax úchytová lišta 2,7m čierna mat</v>
      </c>
      <c r="G353" s="571"/>
      <c r="H353" s="571">
        <v>2700</v>
      </c>
      <c r="I353" s="571" t="str">
        <f>$J$17</f>
        <v>čierna mat</v>
      </c>
    </row>
    <row r="354" spans="1:9" s="571" customFormat="1" ht="15" customHeight="1">
      <c r="D354" s="572"/>
      <c r="E354" s="52"/>
      <c r="F354" s="52"/>
    </row>
    <row r="355" spans="1:9" s="571" customFormat="1" ht="15" customHeight="1">
      <c r="A355" s="52">
        <f t="shared" si="40"/>
        <v>278057</v>
      </c>
      <c r="B355" s="181"/>
      <c r="C355" s="1" t="str">
        <f>$J$4</f>
        <v xml:space="preserve">strieborná </v>
      </c>
      <c r="D355" s="53">
        <v>278057</v>
      </c>
      <c r="E355" s="52" t="str">
        <f>+VLOOKUP(A355,cennik!$A:$G,2,FALSE)</f>
        <v>SEVROLL Pax úchytová lišta 3m strieborná</v>
      </c>
      <c r="F355" s="52" t="str">
        <f>+VLOOKUP(A355,cennik!A:B,2,FALSE)</f>
        <v>SEVROLL Pax úchytová lišta 3m strieborná</v>
      </c>
      <c r="G355" s="1"/>
      <c r="H355" s="1">
        <v>3000</v>
      </c>
      <c r="I355" s="1" t="str">
        <f>$J$4</f>
        <v xml:space="preserve">strieborná </v>
      </c>
    </row>
    <row r="356" spans="1:9" ht="15" customHeight="1">
      <c r="A356" s="52">
        <f t="shared" si="40"/>
        <v>284523</v>
      </c>
      <c r="B356" s="181"/>
      <c r="C356" s="1" t="str">
        <f>$J$15</f>
        <v>biela lesk</v>
      </c>
      <c r="D356" s="53">
        <v>284523</v>
      </c>
      <c r="E356" s="52" t="str">
        <f>+VLOOKUP(A356,cennik!$A:$G,2,FALSE)</f>
        <v>SEVROLL Pax úchytová lišta 3m RAL9003 lesk</v>
      </c>
      <c r="F356" s="52" t="str">
        <f>+VLOOKUP(A356,cennik!A:B,2,FALSE)</f>
        <v>SEVROLL Pax úchytová lišta 3m RAL9003 lesk</v>
      </c>
      <c r="H356" s="1">
        <v>3000</v>
      </c>
      <c r="I356" s="1" t="str">
        <f>$J$15</f>
        <v>biela lesk</v>
      </c>
    </row>
    <row r="357" spans="1:9" ht="15" customHeight="1">
      <c r="A357" s="571">
        <v>456333</v>
      </c>
      <c r="B357" s="571"/>
      <c r="C357" s="571" t="str">
        <f>$J$17</f>
        <v>čierna mat</v>
      </c>
      <c r="D357" s="572">
        <v>456333</v>
      </c>
      <c r="E357" s="52" t="str">
        <f>+VLOOKUP(A357,cennik!$A:$G,2,FALSE)</f>
        <v>SEVROLL Pax úchytová lišta 3m čierna mat</v>
      </c>
      <c r="F357" s="52" t="str">
        <f>+VLOOKUP(A357,cennik!A:B,2,FALSE)</f>
        <v>SEVROLL Pax úchytová lišta 3m čierna mat</v>
      </c>
      <c r="G357" s="571"/>
      <c r="H357" s="571">
        <v>3000</v>
      </c>
      <c r="I357" s="571" t="str">
        <f>$J$17</f>
        <v>čierna mat</v>
      </c>
    </row>
    <row r="358" spans="1:9" ht="15" customHeight="1">
      <c r="A358" s="571"/>
      <c r="B358" s="571"/>
      <c r="C358" s="571"/>
      <c r="D358" s="572"/>
      <c r="E358" s="52"/>
      <c r="F358" s="52"/>
      <c r="G358" s="571"/>
      <c r="H358" s="571"/>
      <c r="I358" s="571"/>
    </row>
    <row r="359" spans="1:9" ht="14.25" customHeight="1">
      <c r="A359" s="52">
        <f t="shared" si="40"/>
        <v>278058</v>
      </c>
      <c r="B359" s="181" t="s">
        <v>1457</v>
      </c>
      <c r="C359" s="1" t="str">
        <f>CONCATENATE(H359,"-",$K$15)</f>
        <v>3000-bílá lesk</v>
      </c>
      <c r="D359" s="53">
        <v>278058</v>
      </c>
      <c r="E359" s="52" t="str">
        <f>+VLOOKUP(A359,cennik!$A:$G,2,FALSE)</f>
        <v>SEVROLL Pax horná vodiaca lišta 3m stieb</v>
      </c>
      <c r="F359" s="52" t="str">
        <f>+VLOOKUP(A359,cennik!A:B,2,FALSE)</f>
        <v>SEVROLL Pax horná vodiaca lišta 3m stieb</v>
      </c>
      <c r="H359" s="1">
        <v>3000</v>
      </c>
      <c r="I359" s="1" t="str">
        <f>J$4</f>
        <v xml:space="preserve">strieborná </v>
      </c>
    </row>
    <row r="360" spans="1:9" ht="15" customHeight="1">
      <c r="A360" s="52">
        <f t="shared" si="40"/>
        <v>284525</v>
      </c>
      <c r="B360" s="181"/>
      <c r="C360" s="1" t="str">
        <f>CONCATENATE(H360,"-",$K$15)</f>
        <v>3000-bílá lesk</v>
      </c>
      <c r="D360" s="53">
        <v>284525</v>
      </c>
      <c r="E360" s="52" t="str">
        <f>+VLOOKUP(A360,cennik!$A:$G,2,FALSE)</f>
        <v>SEVROLL Pax horná vod.lišta 3m RAL9003 lesk</v>
      </c>
      <c r="F360" s="52" t="str">
        <f>+VLOOKUP(A360,cennik!A:B,2,FALSE)</f>
        <v>SEVROLL Pax horná vod.lišta 3m RAL9003 lesk</v>
      </c>
      <c r="H360" s="1">
        <v>3000</v>
      </c>
      <c r="I360" s="1" t="str">
        <f>K$15</f>
        <v>bílá lesk</v>
      </c>
    </row>
    <row r="361" spans="1:9" ht="15" customHeight="1">
      <c r="A361" s="52">
        <f t="shared" si="40"/>
        <v>278059</v>
      </c>
      <c r="B361" s="181" t="s">
        <v>1458</v>
      </c>
      <c r="C361" s="1" t="str">
        <f>CONCATENATE(H361,"-",$K$15)</f>
        <v>3000-bílá lesk</v>
      </c>
      <c r="D361" s="53">
        <v>278059</v>
      </c>
      <c r="E361" s="52" t="str">
        <f>+VLOOKUP(A361,cennik!$A:$G,2,FALSE)</f>
        <v>SEVROLL Pax spodná krycia lišta 3m stireb</v>
      </c>
      <c r="F361" s="52" t="str">
        <f>+VLOOKUP(A361,cennik!A:B,2,FALSE)</f>
        <v>SEVROLL Pax spodná krycia lišta 3m stireb</v>
      </c>
      <c r="H361" s="1">
        <v>3000</v>
      </c>
      <c r="I361" s="1" t="str">
        <f>J$4</f>
        <v xml:space="preserve">strieborná </v>
      </c>
    </row>
    <row r="362" spans="1:9" s="575" customFormat="1" ht="15" customHeight="1">
      <c r="A362" s="52">
        <f t="shared" si="40"/>
        <v>284526</v>
      </c>
      <c r="B362" s="181"/>
      <c r="C362" s="1" t="str">
        <f>CONCATENATE(H362,"-",$K$15)</f>
        <v>3000-bílá lesk</v>
      </c>
      <c r="D362" s="53">
        <v>284526</v>
      </c>
      <c r="E362" s="52" t="str">
        <f>+VLOOKUP(A362,cennik!$A:$G,2,FALSE)</f>
        <v>SEVROLL Pax spod.krycia lišta 3m RAL9003 les</v>
      </c>
      <c r="F362" s="52" t="str">
        <f>+VLOOKUP(A362,cennik!A:B,2,FALSE)</f>
        <v>SEVROLL Pax spod.krycia lišta 3m RAL9003 les</v>
      </c>
      <c r="G362" s="1"/>
      <c r="H362" s="1">
        <v>3000</v>
      </c>
      <c r="I362" s="1" t="str">
        <f>K$15</f>
        <v>bílá lesk</v>
      </c>
    </row>
    <row r="363" spans="1:9" s="575" customFormat="1" ht="15" customHeight="1">
      <c r="A363" s="52">
        <f t="shared" si="40"/>
        <v>288126</v>
      </c>
      <c r="B363" s="181" t="s">
        <v>1460</v>
      </c>
      <c r="C363" s="156" t="str">
        <f>J$4</f>
        <v xml:space="preserve">strieborná </v>
      </c>
      <c r="D363" s="53">
        <v>288126</v>
      </c>
      <c r="E363" s="52" t="str">
        <f>+VLOOKUP(A363,cennik!$A:$G,2,FALSE)</f>
        <v>SEVROLL Pax nalepovacia úchytka strieborná</v>
      </c>
      <c r="F363" s="52" t="str">
        <f>+VLOOKUP(A363,cennik!A:B,2,FALSE)</f>
        <v>SEVROLL Pax nalepovacia úchytka strieborná</v>
      </c>
      <c r="G363" s="1"/>
      <c r="H363" s="1"/>
      <c r="I363" s="1" t="str">
        <f>J$4</f>
        <v xml:space="preserve">strieborná </v>
      </c>
    </row>
    <row r="364" spans="1:9" ht="15" customHeight="1">
      <c r="A364" s="52">
        <f t="shared" si="40"/>
        <v>288125</v>
      </c>
      <c r="B364" s="52"/>
      <c r="C364" s="156" t="str">
        <f>J$15</f>
        <v>biela lesk</v>
      </c>
      <c r="D364" s="53">
        <v>288125</v>
      </c>
      <c r="E364" s="52" t="str">
        <f>+VLOOKUP(A364,cennik!$A:$G,2,FALSE)</f>
        <v>SEVROLL Pax nalepovacia úchytka biela</v>
      </c>
      <c r="F364" s="52" t="str">
        <f>+VLOOKUP(A364,cennik!A:B,2,FALSE)</f>
        <v>SEVROLL Pax nalepovacia úchytka biela</v>
      </c>
      <c r="I364" s="1" t="str">
        <f>J$15</f>
        <v>biela lesk</v>
      </c>
    </row>
    <row r="365" spans="1:9" ht="15" customHeight="1">
      <c r="A365" s="573">
        <f t="shared" si="40"/>
        <v>278060</v>
      </c>
      <c r="B365" s="574" t="s">
        <v>1459</v>
      </c>
      <c r="C365" s="575" t="str">
        <f>$J$4</f>
        <v xml:space="preserve">strieborná </v>
      </c>
      <c r="D365" s="576">
        <v>278060</v>
      </c>
      <c r="E365" s="573" t="str">
        <f>+VLOOKUP(A365,cennik!$A:$G,2,FALSE)</f>
        <v>SEVROLL Pax záslepka profilu (4ks) strieb</v>
      </c>
      <c r="F365" s="573" t="str">
        <f>+VLOOKUP(A365,cennik!A:B,2,FALSE)</f>
        <v>SEVROLL Pax záslepka profilu (4ks) strieb</v>
      </c>
      <c r="G365" s="575"/>
      <c r="H365" s="575"/>
      <c r="I365" s="575" t="str">
        <f>J$4</f>
        <v xml:space="preserve">strieborná </v>
      </c>
    </row>
    <row r="366" spans="1:9" ht="15" customHeight="1">
      <c r="A366" s="573">
        <f t="shared" si="40"/>
        <v>284529</v>
      </c>
      <c r="B366" s="574"/>
      <c r="C366" s="575" t="str">
        <f>$J$15</f>
        <v>biela lesk</v>
      </c>
      <c r="D366" s="576">
        <v>284529</v>
      </c>
      <c r="E366" s="573" t="str">
        <f>+VLOOKUP(A366,cennik!$A:$G,2,FALSE)</f>
        <v>SEVROLL Pax záslepka profilu 4 ks RAL9003</v>
      </c>
      <c r="F366" s="573" t="str">
        <f>+VLOOKUP(A366,cennik!A:B,2,FALSE)</f>
        <v>SEVROLL Pax záslepka profilu 4 ks RAL9003</v>
      </c>
      <c r="G366" s="575"/>
      <c r="H366" s="575"/>
      <c r="I366" s="575" t="str">
        <f>K$15</f>
        <v>bílá lesk</v>
      </c>
    </row>
    <row r="367" spans="1:9" ht="15" customHeight="1">
      <c r="A367" s="1">
        <v>422012</v>
      </c>
      <c r="C367" s="1" t="str">
        <f>$J$17</f>
        <v>čierna mat</v>
      </c>
      <c r="D367" s="1">
        <v>422012</v>
      </c>
      <c r="E367" s="52" t="str">
        <f>+VLOOKUP(A367,cennik!$A:$G,2,FALSE)</f>
        <v>SEVROLL Pax záslepka profilu (4 ks) čierna mat</v>
      </c>
      <c r="F367" s="52" t="str">
        <f>+VLOOKUP(A367,cennik!A:B,2,FALSE)</f>
        <v>SEVROLL Pax záslepka profilu (4 ks) čierna mat</v>
      </c>
      <c r="I367" s="1" t="str">
        <f>$J$17</f>
        <v>čierna mat</v>
      </c>
    </row>
    <row r="368" spans="1:9" ht="15" customHeight="1">
      <c r="A368" s="52"/>
      <c r="B368" s="181"/>
      <c r="D368" s="53"/>
      <c r="E368" s="52"/>
      <c r="F368" s="52"/>
    </row>
    <row r="369" spans="1:9" ht="15" customHeight="1">
      <c r="A369" s="52">
        <f>D369</f>
        <v>212616</v>
      </c>
      <c r="B369" s="52"/>
      <c r="D369" s="53">
        <v>212616</v>
      </c>
      <c r="E369" s="52" t="str">
        <f>+VLOOKUP(A369,cennik!$A:$G,2,FALSE)</f>
        <v>SEVROLL brzda k lište Hide N a M</v>
      </c>
      <c r="F369" s="52" t="str">
        <f>+VLOOKUP(A369,cennik!A:B,2,FALSE)</f>
        <v>SEVROLL brzda k lište Hide N a M</v>
      </c>
    </row>
    <row r="370" spans="1:9" ht="15" customHeight="1">
      <c r="A370" s="52">
        <f>D370</f>
        <v>283904</v>
      </c>
      <c r="B370" s="52"/>
      <c r="C370" s="1" t="str">
        <f>CONCATENATE(H370,"-",$J$4)</f>
        <v xml:space="preserve">3000-strieborná </v>
      </c>
      <c r="D370" s="53">
        <v>283904</v>
      </c>
      <c r="E370" s="52" t="str">
        <f>+VLOOKUP(A370,cennik!$A:$G,2,FALSE)</f>
        <v>SEVROLL Pax výstuha 3m strieb</v>
      </c>
      <c r="F370" s="52" t="str">
        <f>+VLOOKUP(A370,cennik!A:B,2,FALSE)</f>
        <v>SEVROLL Pax výstuha 3m strieb</v>
      </c>
      <c r="H370" s="1">
        <v>3000</v>
      </c>
      <c r="I370" s="1" t="str">
        <f>J$4</f>
        <v xml:space="preserve">strieborná </v>
      </c>
    </row>
    <row r="371" spans="1:9" ht="15" customHeight="1">
      <c r="A371" s="52"/>
      <c r="B371" s="52"/>
      <c r="D371" s="53"/>
      <c r="E371" s="52"/>
      <c r="F371" s="52"/>
    </row>
    <row r="372" spans="1:9" ht="15" customHeight="1">
      <c r="A372" s="52">
        <f>+D372</f>
        <v>0</v>
      </c>
      <c r="B372" s="182" t="s">
        <v>2700</v>
      </c>
      <c r="D372" s="53"/>
      <c r="E372" s="52"/>
      <c r="F372" s="52"/>
      <c r="G372" s="1" t="e">
        <f>+VLOOKUP(A372,#REF!,4,FALSE)</f>
        <v>#REF!</v>
      </c>
      <c r="H372" s="1" t="s">
        <v>84</v>
      </c>
    </row>
    <row r="373" spans="1:9" ht="15" customHeight="1">
      <c r="A373" s="52">
        <f t="shared" ref="A373:A388" si="41">+D373</f>
        <v>224152</v>
      </c>
      <c r="B373" s="182"/>
      <c r="C373" s="1" t="str">
        <f>CONCATENATE(H373,"-",$J$4)</f>
        <v xml:space="preserve">1500-strieborná </v>
      </c>
      <c r="D373" s="53">
        <v>224152</v>
      </c>
      <c r="E373" s="52" t="str">
        <f>+VLOOKUP(A373,cennik!$A:$G,2,FALSE)</f>
        <v>SEVROLL dol.vod.lišta Simple/Blue 1,5m(10mm)str.</v>
      </c>
      <c r="F373" s="52" t="str">
        <f>+VLOOKUP(A373,cennik!A:B,2,FALSE)</f>
        <v>SEVROLL dol.vod.lišta Simple/Blue 1,5m(10mm)str.</v>
      </c>
      <c r="H373" s="1">
        <v>1500</v>
      </c>
      <c r="I373" s="1" t="str">
        <f>CONCATENATE(H373,"-",$J$4)</f>
        <v xml:space="preserve">1500-strieborná </v>
      </c>
    </row>
    <row r="374" spans="1:9" ht="15" customHeight="1">
      <c r="A374" s="52">
        <f t="shared" si="41"/>
        <v>224153</v>
      </c>
      <c r="B374" s="182"/>
      <c r="C374" s="1" t="str">
        <f>CONCATENATE(H374,"-",$J$4)</f>
        <v xml:space="preserve">2000-strieborná </v>
      </c>
      <c r="D374" s="53">
        <v>224153</v>
      </c>
      <c r="E374" s="52" t="str">
        <f>+VLOOKUP(A374,cennik!$A:$G,2,FALSE)</f>
        <v>SEVROLL spod.kryc.lišta Simple/Blue 2m(10mm)str.</v>
      </c>
      <c r="F374" s="52" t="str">
        <f>+VLOOKUP(A374,cennik!A:B,2,FALSE)</f>
        <v>SEVROLL spod.kryc.lišta Simple/Blue 2m(10mm)str.</v>
      </c>
      <c r="H374" s="1">
        <v>2000</v>
      </c>
      <c r="I374" s="1" t="str">
        <f>CONCATENATE(H374,"-",$J$4)</f>
        <v xml:space="preserve">2000-strieborná </v>
      </c>
    </row>
    <row r="375" spans="1:9" ht="15" customHeight="1">
      <c r="A375" s="52">
        <f>+D375</f>
        <v>222574</v>
      </c>
      <c r="B375" s="183"/>
      <c r="C375" s="1" t="str">
        <f>CONCATENATE(H375,"-",$J$4)</f>
        <v xml:space="preserve">3000-strieborná </v>
      </c>
      <c r="D375" s="53">
        <v>222574</v>
      </c>
      <c r="E375" s="52" t="str">
        <f>+VLOOKUP(A375,cennik!$A:$G,2,FALSE)</f>
        <v>SEVROLL spod.krycia lišta Simple/Blue 3m(10mm)str</v>
      </c>
      <c r="F375" s="52" t="str">
        <f>+VLOOKUP(A375,cennik!A:B,2,FALSE)</f>
        <v>SEVROLL spod.krycia lišta Simple/Blue 3m(10mm)str</v>
      </c>
      <c r="H375" s="1">
        <v>3000</v>
      </c>
      <c r="I375" s="1" t="str">
        <f>CONCATENATE(H375,"-",$J$4)</f>
        <v xml:space="preserve">3000-strieborná </v>
      </c>
    </row>
    <row r="376" spans="1:9" ht="15" customHeight="1">
      <c r="A376" s="52">
        <f t="shared" si="41"/>
        <v>224155</v>
      </c>
      <c r="B376" s="183"/>
      <c r="C376" s="1" t="str">
        <f>CONCATENATE(H376,"-",$J$6)</f>
        <v>1500-oliva</v>
      </c>
      <c r="D376" s="53">
        <v>224155</v>
      </c>
      <c r="E376" s="52" t="str">
        <f>+VLOOKUP(A376,cennik!$A:$G,2,FALSE)</f>
        <v>SEVROLL hor.vod.lišta Simple/Blue 1,5m(10mm)oliva</v>
      </c>
      <c r="F376" s="52" t="str">
        <f>+VLOOKUP(A376,cennik!A:B,2,FALSE)</f>
        <v>SEVROLL hor.vod.lišta Simple/Blue 1,5m(10mm)oliva</v>
      </c>
      <c r="H376" s="1">
        <v>1500</v>
      </c>
      <c r="I376" s="1" t="str">
        <f>CONCATENATE(H376,"-",$J$6)</f>
        <v>1500-oliva</v>
      </c>
    </row>
    <row r="377" spans="1:9" ht="15" customHeight="1">
      <c r="A377" s="52">
        <f t="shared" si="41"/>
        <v>224156</v>
      </c>
      <c r="B377" s="183"/>
      <c r="C377" s="1" t="str">
        <f>CONCATENATE(H377,"-",$J$6)</f>
        <v>2000-oliva</v>
      </c>
      <c r="D377" s="53">
        <v>224156</v>
      </c>
      <c r="E377" s="52" t="str">
        <f>+VLOOKUP(A377,cennik!$A:$G,2,FALSE)</f>
        <v>SEVROLL spod.vod.lišta Simple/Blue 2m(10mm)oliva</v>
      </c>
      <c r="F377" s="52" t="str">
        <f>+VLOOKUP(A377,cennik!A:B,2,FALSE)</f>
        <v>SEVROLL spod.vod.lišta Simple/Blue 2m(10mm)oliva</v>
      </c>
      <c r="H377" s="1">
        <v>2000</v>
      </c>
      <c r="I377" s="1" t="str">
        <f>CONCATENATE(H377,"-",$J$6)</f>
        <v>2000-oliva</v>
      </c>
    </row>
    <row r="378" spans="1:9" ht="15" customHeight="1">
      <c r="A378" s="52">
        <f t="shared" si="41"/>
        <v>223564</v>
      </c>
      <c r="B378" s="183"/>
      <c r="C378" s="1" t="str">
        <f>CONCATENATE(H378,"-",$J$6)</f>
        <v>3000-oliva</v>
      </c>
      <c r="D378" s="53">
        <v>223564</v>
      </c>
      <c r="E378" s="52" t="str">
        <f>+VLOOKUP(A378,cennik!$A:$G,2,FALSE)</f>
        <v>SEVROLL spod.krycia lišta Simple/Blue 3m(10mm)oliv</v>
      </c>
      <c r="F378" s="52" t="str">
        <f>+VLOOKUP(A378,cennik!A:B,2,FALSE)</f>
        <v>SEVROLL spod.krycia lišta Simple/Blue 3m(10mm)oliv</v>
      </c>
      <c r="H378" s="1">
        <v>3000</v>
      </c>
      <c r="I378" s="1" t="str">
        <f>CONCATENATE(H378,"-",$J$6)</f>
        <v>3000-oliva</v>
      </c>
    </row>
    <row r="379" spans="1:9" ht="15" customHeight="1">
      <c r="A379" s="52">
        <f t="shared" si="41"/>
        <v>0</v>
      </c>
      <c r="B379" s="182" t="s">
        <v>2701</v>
      </c>
      <c r="D379" s="53"/>
      <c r="E379" s="52" t="e">
        <f>+VLOOKUP(A379,cennik!$A:$G,2,FALSE)</f>
        <v>#N/A</v>
      </c>
      <c r="F379" s="52" t="e">
        <f>+VLOOKUP(A379,cennik!A:B,2,FALSE)</f>
        <v>#N/A</v>
      </c>
    </row>
    <row r="380" spans="1:9" ht="15" customHeight="1">
      <c r="A380" s="52">
        <f t="shared" si="41"/>
        <v>224137</v>
      </c>
      <c r="B380" s="182"/>
      <c r="C380" s="1" t="str">
        <f>CONCATENATE(H380,"-",$J$4)</f>
        <v xml:space="preserve">1500-strieborná </v>
      </c>
      <c r="D380" s="53">
        <v>224137</v>
      </c>
      <c r="E380" s="52" t="str">
        <f>+VLOOKUP(A380,cennik!$A:$G,2,FALSE)</f>
        <v>SEVROLL spod.kryc.lišta Simple/Blue 1,5m(18m</v>
      </c>
      <c r="F380" s="52" t="str">
        <f>+VLOOKUP(A380,cennik!A:B,2,FALSE)</f>
        <v>SEVROLL spod.kryc.lišta Simple/Blue 1,5m(18m</v>
      </c>
      <c r="H380" s="1">
        <v>1500</v>
      </c>
      <c r="I380" s="1" t="str">
        <f>CONCATENATE(H380,"-",$J$4)</f>
        <v xml:space="preserve">1500-strieborná </v>
      </c>
    </row>
    <row r="381" spans="1:9" ht="15" customHeight="1">
      <c r="A381" s="52">
        <f t="shared" si="41"/>
        <v>224138</v>
      </c>
      <c r="B381" s="182"/>
      <c r="C381" s="1" t="str">
        <f>CONCATENATE(H381,"-",$J$4)</f>
        <v xml:space="preserve">2000-strieborná </v>
      </c>
      <c r="D381" s="53">
        <v>224138</v>
      </c>
      <c r="E381" s="52" t="str">
        <f>+VLOOKUP(A381,cennik!$A:$G,2,FALSE)</f>
        <v>SEVROLL spod.kryc.lišta Simple 2m(18mm)str.</v>
      </c>
      <c r="F381" s="52" t="str">
        <f>+VLOOKUP(A381,cennik!A:B,2,FALSE)</f>
        <v>SEVROLL spod.kryc.lišta Simple 2m(18mm)str.</v>
      </c>
      <c r="H381" s="1">
        <v>2000</v>
      </c>
      <c r="I381" s="1" t="str">
        <f>CONCATENATE(H381,"-",$J$4)</f>
        <v xml:space="preserve">2000-strieborná </v>
      </c>
    </row>
    <row r="382" spans="1:9" ht="15" customHeight="1">
      <c r="A382" s="52">
        <f t="shared" si="41"/>
        <v>222572</v>
      </c>
      <c r="B382" s="183"/>
      <c r="C382" s="1" t="str">
        <f>CONCATENATE(H382,"-",$J$4)</f>
        <v xml:space="preserve">3000-strieborná </v>
      </c>
      <c r="D382" s="53">
        <v>222572</v>
      </c>
      <c r="E382" s="52" t="str">
        <f>+VLOOKUP(A382,cennik!$A:$G,2,FALSE)</f>
        <v>SEVROLL spod.krycia lišta Simple 3m(18mm)str</v>
      </c>
      <c r="F382" s="52" t="str">
        <f>+VLOOKUP(A382,cennik!A:B,2,FALSE)</f>
        <v>SEVROLL spod.krycia lišta Simple 3m(18mm)str</v>
      </c>
      <c r="H382" s="1">
        <v>3000</v>
      </c>
      <c r="I382" s="1" t="str">
        <f>CONCATENATE(H382,"-",$J$4)</f>
        <v xml:space="preserve">3000-strieborná </v>
      </c>
    </row>
    <row r="383" spans="1:9" ht="15" customHeight="1">
      <c r="A383" s="575">
        <v>394231</v>
      </c>
      <c r="B383" s="575"/>
      <c r="C383" s="575" t="str">
        <f t="shared" ref="C383" si="42">CONCATENATE(H383,"-",$J$15)</f>
        <v>1500-biela lesk</v>
      </c>
      <c r="D383" s="575">
        <v>394231</v>
      </c>
      <c r="E383" s="573" t="str">
        <f>+VLOOKUP(A383,cennik!$A:$G,2,FALSE)</f>
        <v/>
      </c>
      <c r="F383" s="573" t="str">
        <f>+VLOOKUP(A383,cennik!A:B,2,FALSE)</f>
        <v/>
      </c>
      <c r="G383" s="575"/>
      <c r="H383" s="575">
        <v>1500</v>
      </c>
      <c r="I383" s="575" t="str">
        <f t="shared" ref="I383:I385" si="43">CONCATENATE(H383,"-",$J$15)</f>
        <v>1500-biela lesk</v>
      </c>
    </row>
    <row r="384" spans="1:9" ht="15" customHeight="1">
      <c r="A384" s="575">
        <v>394231</v>
      </c>
      <c r="B384" s="575"/>
      <c r="C384" s="575" t="str">
        <f t="shared" ref="C384:C385" si="44">CONCATENATE(H384,"-",$J$15)</f>
        <v>2000-biela lesk</v>
      </c>
      <c r="D384" s="575">
        <v>394231</v>
      </c>
      <c r="E384" s="573" t="str">
        <f>+VLOOKUP(A384,cennik!$A:$G,2,FALSE)</f>
        <v/>
      </c>
      <c r="F384" s="573" t="str">
        <f>+VLOOKUP(A384,cennik!A:B,2,FALSE)</f>
        <v/>
      </c>
      <c r="G384" s="575"/>
      <c r="H384" s="575">
        <v>2000</v>
      </c>
      <c r="I384" s="575" t="str">
        <f t="shared" si="43"/>
        <v>2000-biela lesk</v>
      </c>
    </row>
    <row r="385" spans="1:9" ht="15" customHeight="1">
      <c r="A385" s="575">
        <v>394265</v>
      </c>
      <c r="B385" s="575"/>
      <c r="C385" s="575" t="str">
        <f t="shared" si="44"/>
        <v>3000-biela lesk</v>
      </c>
      <c r="D385" s="575">
        <v>394265</v>
      </c>
      <c r="E385" s="573" t="str">
        <f>+VLOOKUP(A385,cennik!$A:$G,2,FALSE)</f>
        <v>SEVROLL spod.krycia lišta Simple/Blue 3m(18mm) biela lesk</v>
      </c>
      <c r="F385" s="573" t="str">
        <f>+VLOOKUP(A385,cennik!A:B,2,FALSE)</f>
        <v>SEVROLL spod.krycia lišta Simple/Blue 3m(18mm) biela lesk</v>
      </c>
      <c r="G385" s="575"/>
      <c r="H385" s="575">
        <v>3000</v>
      </c>
      <c r="I385" s="575" t="str">
        <f t="shared" si="43"/>
        <v>3000-biela lesk</v>
      </c>
    </row>
    <row r="386" spans="1:9" ht="15" customHeight="1">
      <c r="A386" s="52">
        <f t="shared" si="41"/>
        <v>224140</v>
      </c>
      <c r="B386" s="183"/>
      <c r="C386" s="1" t="str">
        <f>CONCATENATE(H386,"-",$J$6)</f>
        <v>1500-oliva</v>
      </c>
      <c r="D386" s="53">
        <v>224140</v>
      </c>
      <c r="E386" s="52" t="str">
        <f>+VLOOKUP(A386,cennik!$A:$G,2,FALSE)</f>
        <v>SEVROLL spodná krycia lišta Simple/Blue (18m</v>
      </c>
      <c r="F386" s="52" t="str">
        <f>+VLOOKUP(A386,cennik!A:B,2,FALSE)</f>
        <v>SEVROLL spodná krycia lišta Simple/Blue (18m</v>
      </c>
      <c r="H386" s="1">
        <v>1500</v>
      </c>
      <c r="I386" s="1" t="str">
        <f>CONCATENATE(H386,"-",$J$6)</f>
        <v>1500-oliva</v>
      </c>
    </row>
    <row r="387" spans="1:9" s="566" customFormat="1" ht="15" customHeight="1">
      <c r="A387" s="52">
        <f t="shared" si="41"/>
        <v>224141</v>
      </c>
      <c r="B387" s="183"/>
      <c r="C387" s="1" t="str">
        <f>CONCATENATE(H387,"-",$J$6)</f>
        <v>2000-oliva</v>
      </c>
      <c r="D387" s="53">
        <v>224141</v>
      </c>
      <c r="E387" s="52" t="str">
        <f>+VLOOKUP(A387,cennik!$A:$G,2,FALSE)</f>
        <v>SEVROLL spodná krycia lišta Simple/Blue 2m (</v>
      </c>
      <c r="F387" s="52" t="str">
        <f>+VLOOKUP(A387,cennik!A:B,2,FALSE)</f>
        <v>SEVROLL spodná krycia lišta Simple/Blue 2m (</v>
      </c>
      <c r="G387" s="1"/>
      <c r="H387" s="1">
        <v>2000</v>
      </c>
      <c r="I387" s="1" t="str">
        <f>CONCATENATE(H387,"-",$J$6)</f>
        <v>2000-oliva</v>
      </c>
    </row>
    <row r="388" spans="1:9" s="566" customFormat="1" ht="15" customHeight="1">
      <c r="A388" s="52">
        <f t="shared" si="41"/>
        <v>223562</v>
      </c>
      <c r="B388" s="183"/>
      <c r="C388" s="1" t="str">
        <f>CONCATENATE(H388,"-",$J$6)</f>
        <v>3000-oliva</v>
      </c>
      <c r="D388" s="53">
        <v>223562</v>
      </c>
      <c r="E388" s="52" t="str">
        <f>+VLOOKUP(A388,cennik!$A:$G,2,FALSE)</f>
        <v>SEVROLL spodná krycia lišta Simple/Blue 3m (</v>
      </c>
      <c r="F388" s="52" t="str">
        <f>+VLOOKUP(A388,cennik!A:B,2,FALSE)</f>
        <v>SEVROLL spodná krycia lišta Simple/Blue 3m (</v>
      </c>
      <c r="G388" s="1"/>
      <c r="H388" s="1">
        <v>3000</v>
      </c>
      <c r="I388" s="1" t="str">
        <f>CONCATENATE(H388,"-",$J$6)</f>
        <v>3000-oliva</v>
      </c>
    </row>
    <row r="389" spans="1:9" s="566" customFormat="1" ht="15" customHeight="1">
      <c r="A389" s="52">
        <f t="shared" si="37"/>
        <v>0</v>
      </c>
      <c r="B389" s="52"/>
      <c r="C389" s="1"/>
      <c r="D389" s="53"/>
      <c r="E389" s="52" t="e">
        <f>+VLOOKUP(A389,cennik!$A:$G,2,FALSE)</f>
        <v>#N/A</v>
      </c>
      <c r="F389" s="52" t="e">
        <f>+VLOOKUP(A389,cennik!A:B,2,FALSE)</f>
        <v>#N/A</v>
      </c>
      <c r="G389" s="1" t="e">
        <f>+VLOOKUP(A389,#REF!,4,FALSE)</f>
        <v>#REF!</v>
      </c>
      <c r="H389" s="1" t="s">
        <v>84</v>
      </c>
      <c r="I389" s="1"/>
    </row>
    <row r="390" spans="1:9" s="566" customFormat="1" ht="15" customHeight="1">
      <c r="A390" s="567">
        <f t="shared" si="37"/>
        <v>89236</v>
      </c>
      <c r="B390" s="567" t="s">
        <v>32</v>
      </c>
      <c r="C390" s="566" t="str">
        <f>$J$4</f>
        <v xml:space="preserve">strieborná </v>
      </c>
      <c r="D390" s="569">
        <v>89236</v>
      </c>
      <c r="E390" s="567" t="str">
        <f>+VLOOKUP(A390,cennik!$A:$G,2,FALSE)</f>
        <v>SEVROLL- SPOJ.LIŠTA "H10" 3M STR.</v>
      </c>
      <c r="F390" s="567" t="str">
        <f>+VLOOKUP(A390,cennik!A:B,2,FALSE)</f>
        <v>SEVROLL- SPOJ.LIŠTA "H10" 3M STR.</v>
      </c>
      <c r="G390" s="566" t="e">
        <f>+VLOOKUP(A390,#REF!,4,FALSE)</f>
        <v>#REF!</v>
      </c>
      <c r="I390" s="566" t="str">
        <f>$J$4</f>
        <v xml:space="preserve">strieborná </v>
      </c>
    </row>
    <row r="391" spans="1:9" s="566" customFormat="1" ht="15" customHeight="1">
      <c r="A391" s="567">
        <f t="shared" si="37"/>
        <v>89257</v>
      </c>
      <c r="B391" s="567"/>
      <c r="C391" s="566" t="str">
        <f>$J$5</f>
        <v>zlatá</v>
      </c>
      <c r="D391" s="569">
        <v>89257</v>
      </c>
      <c r="E391" s="567" t="str">
        <f>+VLOOKUP(A391,cennik!$A:$G,2,FALSE)</f>
        <v>SEVROLL-153 SPOJ.LIŠTA """"H10" 3M ZLATÁ</v>
      </c>
      <c r="F391" s="567" t="str">
        <f>+VLOOKUP(A391,cennik!A:B,2,FALSE)</f>
        <v>SEVROLL-153 SPOJ.LIŠTA """"H10" 3M ZLATÁ</v>
      </c>
      <c r="G391" s="566" t="e">
        <f>+VLOOKUP(A391,#REF!,4,FALSE)</f>
        <v>#REF!</v>
      </c>
      <c r="I391" s="566" t="str">
        <f>$J$5</f>
        <v>zlatá</v>
      </c>
    </row>
    <row r="392" spans="1:9" s="566" customFormat="1" ht="15" customHeight="1">
      <c r="A392" s="567">
        <f t="shared" si="37"/>
        <v>89237</v>
      </c>
      <c r="B392" s="567"/>
      <c r="C392" s="566" t="str">
        <f>$J$6</f>
        <v>oliva</v>
      </c>
      <c r="D392" s="569">
        <v>89237</v>
      </c>
      <c r="E392" s="567" t="str">
        <f>+VLOOKUP(A392,cennik!$A:$G,2,FALSE)</f>
        <v>SEVROLL-153 SPOJ.LIŠTA "H 10"3M OLIVOVÁ</v>
      </c>
      <c r="F392" s="567" t="str">
        <f>+VLOOKUP(A392,cennik!A:B,2,FALSE)</f>
        <v>SEVROLL-153 SPOJ.LIŠTA "H 10"3M OLIVOVÁ</v>
      </c>
      <c r="G392" s="566" t="e">
        <f>+VLOOKUP(A392,#REF!,4,FALSE)</f>
        <v>#REF!</v>
      </c>
      <c r="I392" s="566" t="str">
        <f>$J$6</f>
        <v>oliva</v>
      </c>
    </row>
    <row r="393" spans="1:9" s="566" customFormat="1" ht="15" customHeight="1">
      <c r="A393" s="567">
        <f t="shared" si="37"/>
        <v>121028</v>
      </c>
      <c r="B393" s="567"/>
      <c r="C393" s="566" t="str">
        <f>$J$7</f>
        <v>oliva kartáčovaná</v>
      </c>
      <c r="D393" s="569">
        <v>121028</v>
      </c>
      <c r="E393" s="567" t="str">
        <f>+VLOOKUP(A393,cennik!$A:$G,2,FALSE)</f>
        <v>SEVROLL-SPOJ.LIŠTA "H 10" 3M OLIVA kartáčovaná</v>
      </c>
      <c r="F393" s="567" t="str">
        <f>+VLOOKUP(A393,cennik!A:B,2,FALSE)</f>
        <v>SEVROLL-SPOJ.LIŠTA "H 10" 3M OLIVA kartáčovaná</v>
      </c>
      <c r="I393" s="566" t="str">
        <f>$J$7</f>
        <v>oliva kartáčovaná</v>
      </c>
    </row>
    <row r="394" spans="1:9" s="566" customFormat="1" ht="15" customHeight="1">
      <c r="A394" s="567">
        <f t="shared" si="37"/>
        <v>205160</v>
      </c>
      <c r="B394" s="567"/>
      <c r="C394" s="566" t="str">
        <f>$J$8</f>
        <v>kart. tm. oliva</v>
      </c>
      <c r="D394" s="569">
        <v>205160</v>
      </c>
      <c r="E394" s="567" t="str">
        <f>+VLOOKUP(A394,cennik!$A:$G,2,FALSE)</f>
        <v>SEVROLL spoj.lišta H10 3m oliva tm.kartáč.</v>
      </c>
      <c r="F394" s="567" t="str">
        <f>+VLOOKUP(A394,cennik!A:B,2,FALSE)</f>
        <v>SEVROLL spoj.lišta H10 3m oliva tm.kartáč.</v>
      </c>
      <c r="I394" s="566" t="str">
        <f>$J$8</f>
        <v>kart. tm. oliva</v>
      </c>
    </row>
    <row r="395" spans="1:9" s="566" customFormat="1" ht="15" customHeight="1">
      <c r="A395" s="567">
        <f t="shared" si="37"/>
        <v>205161</v>
      </c>
      <c r="B395" s="567"/>
      <c r="C395" s="566" t="str">
        <f>$J$9</f>
        <v>kart. čierna</v>
      </c>
      <c r="D395" s="569">
        <v>205161</v>
      </c>
      <c r="E395" s="567" t="str">
        <f>+VLOOKUP(A395,cennik!$A:$G,2,FALSE)</f>
        <v>SEVROLL spoj.lišta H10 3m čierna kartáč</v>
      </c>
      <c r="F395" s="567" t="str">
        <f>+VLOOKUP(A395,cennik!A:B,2,FALSE)</f>
        <v>SEVROLL spoj.lišta H10 3m čierna kartáč</v>
      </c>
      <c r="I395" s="566" t="str">
        <f>$J$9</f>
        <v>kart. čierna</v>
      </c>
    </row>
    <row r="396" spans="1:9" ht="15" customHeight="1">
      <c r="A396" s="567">
        <f t="shared" si="37"/>
        <v>276739</v>
      </c>
      <c r="B396" s="567"/>
      <c r="C396" s="566" t="str">
        <f>$J$15</f>
        <v>biela lesk</v>
      </c>
      <c r="D396" s="569">
        <v>276739</v>
      </c>
      <c r="E396" s="567" t="str">
        <f>+VLOOKUP(A396,cennik!$A:$G,2,FALSE)</f>
        <v>SEVROLL spojovacia lišta H10 3m biela lesk</v>
      </c>
      <c r="F396" s="567" t="str">
        <f>+VLOOKUP(A396,cennik!A:B,2,FALSE)</f>
        <v>SEVROLL spojovacia lišta H10 3m biela lesk</v>
      </c>
      <c r="G396" s="566"/>
      <c r="H396" s="566"/>
      <c r="I396" s="566" t="str">
        <f>$J$15</f>
        <v>biela lesk</v>
      </c>
    </row>
    <row r="397" spans="1:9" ht="15" customHeight="1">
      <c r="A397" s="566">
        <v>395508</v>
      </c>
      <c r="B397" s="566"/>
      <c r="C397" s="566" t="str">
        <f>$J$16</f>
        <v>čierna lesk</v>
      </c>
      <c r="D397" s="568">
        <v>395508</v>
      </c>
      <c r="E397" s="567" t="str">
        <f>+VLOOKUP(A397,cennik!$A:$G,2,FALSE)</f>
        <v>SEVROLL spojovacia lišta H10 3m čierna lesk</v>
      </c>
      <c r="F397" s="567" t="str">
        <f>+VLOOKUP(A397,cennik!A:B,2,FALSE)</f>
        <v>SEVROLL spojovacia lišta H10 3m čierna lesk</v>
      </c>
      <c r="G397" s="566"/>
      <c r="H397" s="566"/>
      <c r="I397" s="566" t="str">
        <f>$J$16</f>
        <v>čierna lesk</v>
      </c>
    </row>
    <row r="398" spans="1:9" ht="15" customHeight="1">
      <c r="A398" s="566">
        <v>452761</v>
      </c>
      <c r="B398" s="566"/>
      <c r="C398" s="566" t="str">
        <f>$J$17</f>
        <v>čierna mat</v>
      </c>
      <c r="D398" s="568">
        <v>452761</v>
      </c>
      <c r="E398" s="567" t="str">
        <f>+VLOOKUP(A398,cennik!$A:$G,2,FALSE)</f>
        <v>SEVROLL spojovacia lišta H10 3m čierna mat</v>
      </c>
      <c r="F398" s="567" t="str">
        <f>+VLOOKUP(A398,cennik!A:B,2,FALSE)</f>
        <v>SEVROLL spojovacia lišta H10 3m čierna mat</v>
      </c>
      <c r="G398" s="566"/>
      <c r="H398" s="566"/>
      <c r="I398" s="566" t="str">
        <f>$J$17</f>
        <v>čierna mat</v>
      </c>
    </row>
    <row r="399" spans="1:9" ht="15" customHeight="1">
      <c r="A399" s="52">
        <f t="shared" si="37"/>
        <v>89069</v>
      </c>
      <c r="B399" s="52" t="s">
        <v>33</v>
      </c>
      <c r="C399" s="1" t="str">
        <f>$J$4</f>
        <v xml:space="preserve">strieborná </v>
      </c>
      <c r="D399" s="53">
        <v>89069</v>
      </c>
      <c r="E399" s="52" t="str">
        <f>+VLOOKUP(A399,cennik!$A:$G,2,FALSE)</f>
        <v>SEVROLL-253S-SPOJ.LIŠTA H-30mm STR 3m</v>
      </c>
      <c r="F399" s="52" t="str">
        <f>+VLOOKUP(A399,cennik!A:B,2,FALSE)</f>
        <v>SEVROLL-253S-SPOJ.LIŠTA H-30mm STR 3m</v>
      </c>
      <c r="G399" s="1" t="e">
        <f>+VLOOKUP(A399,#REF!,4,FALSE)</f>
        <v>#REF!</v>
      </c>
      <c r="I399" s="1" t="str">
        <f>$J$4</f>
        <v xml:space="preserve">strieborná </v>
      </c>
    </row>
    <row r="400" spans="1:9" ht="15" customHeight="1">
      <c r="A400" s="52" t="str">
        <f t="shared" si="37"/>
        <v>N/A</v>
      </c>
      <c r="B400" s="52"/>
      <c r="C400" s="1" t="str">
        <f>$J$5</f>
        <v>zlatá</v>
      </c>
      <c r="D400" s="53" t="s">
        <v>156</v>
      </c>
      <c r="E400" s="52" t="e">
        <f>+VLOOKUP(A400,cennik!$A:$G,2,FALSE)</f>
        <v>#N/A</v>
      </c>
      <c r="F400" s="52" t="e">
        <f>+VLOOKUP(A400,cennik!A:B,2,FALSE)</f>
        <v>#N/A</v>
      </c>
      <c r="G400" s="1" t="e">
        <f>+VLOOKUP(A400,#REF!,4,FALSE)</f>
        <v>#REF!</v>
      </c>
      <c r="I400" s="1" t="str">
        <f>$J$5</f>
        <v>zlatá</v>
      </c>
    </row>
    <row r="401" spans="1:9" ht="15" customHeight="1">
      <c r="A401" s="52">
        <f t="shared" si="37"/>
        <v>89071</v>
      </c>
      <c r="B401" s="52"/>
      <c r="C401" s="1" t="str">
        <f>$J$6</f>
        <v>oliva</v>
      </c>
      <c r="D401" s="53">
        <v>89071</v>
      </c>
      <c r="E401" s="52" t="str">
        <f>+VLOOKUP(A401,cennik!$A:$G,2,FALSE)</f>
        <v>SEVROLL spojovacia lišta H30 3m oliva</v>
      </c>
      <c r="F401" s="52" t="str">
        <f>+VLOOKUP(A401,cennik!A:B,2,FALSE)</f>
        <v>SEVROLL spojovacia lišta H30 3m oliva</v>
      </c>
      <c r="G401" s="1" t="e">
        <f>+VLOOKUP(A401,#REF!,4,FALSE)</f>
        <v>#REF!</v>
      </c>
      <c r="I401" s="1" t="str">
        <f>$J$6</f>
        <v>oliva</v>
      </c>
    </row>
    <row r="402" spans="1:9" ht="15" customHeight="1">
      <c r="A402" s="52" t="str">
        <f t="shared" si="37"/>
        <v>N/A</v>
      </c>
      <c r="B402" s="52"/>
      <c r="C402" s="1" t="str">
        <f>$J$7</f>
        <v>oliva kartáčovaná</v>
      </c>
      <c r="D402" s="53" t="s">
        <v>156</v>
      </c>
      <c r="E402" s="52" t="e">
        <f>+VLOOKUP(A402,cennik!$A:$G,2,FALSE)</f>
        <v>#N/A</v>
      </c>
      <c r="F402" s="52" t="e">
        <f>+VLOOKUP(A402,cennik!A:B,2,FALSE)</f>
        <v>#N/A</v>
      </c>
      <c r="G402" s="1" t="e">
        <f>+VLOOKUP(A402,#REF!,4,FALSE)</f>
        <v>#REF!</v>
      </c>
      <c r="I402" s="1" t="str">
        <f>$J$7</f>
        <v>oliva kartáčovaná</v>
      </c>
    </row>
    <row r="403" spans="1:9" s="566" customFormat="1" ht="15" customHeight="1">
      <c r="A403" s="52" t="str">
        <f t="shared" si="37"/>
        <v>N/A</v>
      </c>
      <c r="B403" s="52"/>
      <c r="C403" s="1" t="str">
        <f>$J$8</f>
        <v>kart. tm. oliva</v>
      </c>
      <c r="D403" s="53" t="s">
        <v>156</v>
      </c>
      <c r="E403" s="52" t="e">
        <f>+VLOOKUP(A403,cennik!$A:$G,2,FALSE)</f>
        <v>#N/A</v>
      </c>
      <c r="F403" s="52" t="e">
        <f>+VLOOKUP(A403,cennik!A:B,2,FALSE)</f>
        <v>#N/A</v>
      </c>
      <c r="G403" s="1"/>
      <c r="H403" s="1"/>
      <c r="I403" s="1" t="str">
        <f>$J$8</f>
        <v>kart. tm. oliva</v>
      </c>
    </row>
    <row r="404" spans="1:9" ht="15" customHeight="1">
      <c r="A404" s="52" t="str">
        <f t="shared" si="37"/>
        <v>N/A</v>
      </c>
      <c r="B404" s="52"/>
      <c r="C404" s="1" t="str">
        <f>$J$9</f>
        <v>kart. čierna</v>
      </c>
      <c r="D404" s="53" t="s">
        <v>156</v>
      </c>
      <c r="E404" s="52" t="e">
        <f>+VLOOKUP(A404,cennik!$A:$G,2,FALSE)</f>
        <v>#N/A</v>
      </c>
      <c r="F404" s="52" t="e">
        <f>+VLOOKUP(A404,cennik!A:B,2,FALSE)</f>
        <v>#N/A</v>
      </c>
      <c r="I404" s="1" t="str">
        <f>$J$9</f>
        <v>kart. čierna</v>
      </c>
    </row>
    <row r="405" spans="1:9" ht="15" customHeight="1">
      <c r="A405" s="52">
        <f>+D405</f>
        <v>308627</v>
      </c>
      <c r="B405" s="52"/>
      <c r="C405" s="1" t="str">
        <f>$J$15</f>
        <v>biela lesk</v>
      </c>
      <c r="D405" s="53">
        <v>308627</v>
      </c>
      <c r="E405" s="52" t="str">
        <f>+VLOOKUP(A405,cennik!$A:$G,2,FALSE)</f>
        <v>SEVROLL spojovacia lišta H30 3m RAL9003 lesk</v>
      </c>
      <c r="F405" s="52" t="str">
        <f>+VLOOKUP(A405,cennik!A:B,2,FALSE)</f>
        <v>SEVROLL spojovacia lišta H30 3m RAL9003 lesk</v>
      </c>
      <c r="I405" s="1" t="str">
        <f>$J$15</f>
        <v>biela lesk</v>
      </c>
    </row>
    <row r="406" spans="1:9" ht="15" customHeight="1">
      <c r="A406" s="566">
        <v>452604</v>
      </c>
      <c r="B406" s="566"/>
      <c r="C406" s="566" t="str">
        <f>$J$17</f>
        <v>čierna mat</v>
      </c>
      <c r="D406" s="566">
        <v>452604</v>
      </c>
      <c r="E406" s="567" t="str">
        <f>+VLOOKUP(A406,cennik!$A:$G,2,FALSE)</f>
        <v>SEVROLL spojovacia lišta H30 3m čierna mat</v>
      </c>
      <c r="F406" s="567" t="str">
        <f>+VLOOKUP(A406,cennik!A:B,2,FALSE)</f>
        <v>SEVROLL spojovacia lišta H30 3m čierna mat</v>
      </c>
      <c r="G406" s="566"/>
      <c r="H406" s="566"/>
      <c r="I406" s="566" t="str">
        <f>$J$17</f>
        <v>čierna mat</v>
      </c>
    </row>
    <row r="407" spans="1:9" s="575" customFormat="1" ht="15" customHeight="1">
      <c r="A407" s="52" t="str">
        <f t="shared" si="37"/>
        <v>N/A</v>
      </c>
      <c r="B407" s="52"/>
      <c r="C407" s="566" t="str">
        <f>$J$16</f>
        <v>čierna lesk</v>
      </c>
      <c r="D407" s="53" t="s">
        <v>156</v>
      </c>
      <c r="E407" s="52"/>
      <c r="F407" s="52"/>
      <c r="G407" s="1"/>
      <c r="H407" s="1"/>
      <c r="I407" s="566" t="str">
        <f>$J$16</f>
        <v>čierna lesk</v>
      </c>
    </row>
    <row r="408" spans="1:9" ht="15" customHeight="1">
      <c r="A408" s="52">
        <f t="shared" si="37"/>
        <v>336796</v>
      </c>
      <c r="B408" s="182" t="s">
        <v>2702</v>
      </c>
      <c r="C408" s="1" t="str">
        <f>$J$4</f>
        <v xml:space="preserve">strieborná </v>
      </c>
      <c r="D408" s="53">
        <v>336796</v>
      </c>
      <c r="E408" s="52" t="str">
        <f>+VLOOKUP(A408,cennik!$A:$G,2,FALSE)</f>
        <v>SEVROLL spoj.lišta Simple H21 3m(18mm) str.</v>
      </c>
      <c r="F408" s="52" t="str">
        <f>+VLOOKUP(A408,cennik!A:B,2,FALSE)</f>
        <v>SEVROLL spoj.lišta Simple H21 3m(18mm) str.</v>
      </c>
      <c r="I408" s="1" t="str">
        <f>$J$4</f>
        <v xml:space="preserve">strieborná </v>
      </c>
    </row>
    <row r="409" spans="1:9" ht="15" customHeight="1">
      <c r="A409" s="575">
        <v>394273</v>
      </c>
      <c r="B409" s="575"/>
      <c r="C409" s="575" t="str">
        <f>$J$15</f>
        <v>biela lesk</v>
      </c>
      <c r="D409" s="575">
        <v>394273</v>
      </c>
      <c r="E409" s="573" t="str">
        <f>+VLOOKUP(A409,cennik!$A:$G,2,FALSE)</f>
        <v>SEVROLL spoj.lišta Simple H21 3m(18mm) biela lesk</v>
      </c>
      <c r="F409" s="573" t="str">
        <f>+VLOOKUP(A409,cennik!A:B,2,FALSE)</f>
        <v>SEVROLL spoj.lišta Simple H21 3m(18mm) biela lesk</v>
      </c>
      <c r="G409" s="575"/>
      <c r="H409" s="575"/>
      <c r="I409" s="575" t="str">
        <f>$J$15</f>
        <v>biela lesk</v>
      </c>
    </row>
    <row r="410" spans="1:9" ht="15" customHeight="1">
      <c r="A410" s="52">
        <f t="shared" si="37"/>
        <v>224158</v>
      </c>
      <c r="B410" s="183"/>
      <c r="C410" s="1" t="str">
        <f>$J$6</f>
        <v>oliva</v>
      </c>
      <c r="D410" s="53">
        <v>224158</v>
      </c>
      <c r="E410" s="52" t="str">
        <f>+VLOOKUP(A410,cennik!$A:$G,2,FALSE)</f>
        <v>SEVROLL spojovacia lišta Simple/Blue H21 3m</v>
      </c>
      <c r="F410" s="52" t="str">
        <f>+VLOOKUP(A410,cennik!A:B,2,FALSE)</f>
        <v>SEVROLL spojovacia lišta Simple/Blue H21 3m</v>
      </c>
      <c r="I410" s="1" t="str">
        <f>$J$6</f>
        <v>oliva</v>
      </c>
    </row>
    <row r="411" spans="1:9" ht="15" customHeight="1">
      <c r="A411" s="52">
        <f t="shared" si="37"/>
        <v>328825</v>
      </c>
      <c r="B411" s="182" t="s">
        <v>2703</v>
      </c>
      <c r="C411" s="1" t="str">
        <f>$J$4</f>
        <v xml:space="preserve">strieborná </v>
      </c>
      <c r="D411" s="53">
        <v>328825</v>
      </c>
      <c r="E411" s="52" t="str">
        <f>+VLOOKUP(A411,cennik!$A:$G,2,FALSE)</f>
        <v>SEVROLL spojovacia lišta Simple / Blue H28 3m (18mm) strieborná</v>
      </c>
      <c r="F411" s="52" t="str">
        <f>+VLOOKUP(A411,cennik!A:B,2,FALSE)</f>
        <v>SEVROLL spojovacia lišta Simple / Blue H28 3m (18mm) strieborná</v>
      </c>
      <c r="I411" s="1" t="str">
        <f>$J$4</f>
        <v xml:space="preserve">strieborná </v>
      </c>
    </row>
    <row r="412" spans="1:9" ht="15" customHeight="1">
      <c r="A412" s="575">
        <v>394281</v>
      </c>
      <c r="B412" s="575"/>
      <c r="C412" s="575" t="str">
        <f>$J$15</f>
        <v>biela lesk</v>
      </c>
      <c r="D412" s="575">
        <v>394281</v>
      </c>
      <c r="E412" s="573" t="str">
        <f>+VLOOKUP(A412,cennik!$A:$G,2,FALSE)</f>
        <v>SEVROLL spojovacia lišta Simple / Blue H28 3m (18mm) biela lesk</v>
      </c>
      <c r="F412" s="573" t="str">
        <f>+VLOOKUP(A412,cennik!A:B,2,FALSE)</f>
        <v>SEVROLL spojovacia lišta Simple / Blue H28 3m (18mm) biela lesk</v>
      </c>
      <c r="G412" s="575"/>
      <c r="H412" s="575"/>
      <c r="I412" s="575" t="str">
        <f>$J$15</f>
        <v>biela lesk</v>
      </c>
    </row>
    <row r="413" spans="1:9" ht="15" customHeight="1">
      <c r="A413" s="52">
        <f t="shared" si="37"/>
        <v>223560</v>
      </c>
      <c r="B413" s="183"/>
      <c r="C413" s="1" t="str">
        <f>$J$6</f>
        <v>oliva</v>
      </c>
      <c r="D413" s="53">
        <v>223560</v>
      </c>
      <c r="E413" s="52" t="str">
        <f>+VLOOKUP(A413,cennik!$A:$G,2,FALSE)</f>
        <v>SEVROLL spojovacia lišta Simple/Blue 3m (18m</v>
      </c>
      <c r="F413" s="52" t="str">
        <f>+VLOOKUP(A413,cennik!A:B,2,FALSE)</f>
        <v>SEVROLL spojovacia lišta Simple/Blue 3m (18m</v>
      </c>
      <c r="I413" s="1" t="str">
        <f>$J$6</f>
        <v>oliva</v>
      </c>
    </row>
    <row r="414" spans="1:9" ht="15" customHeight="1">
      <c r="A414" s="52"/>
      <c r="B414" s="52"/>
      <c r="D414" s="53"/>
      <c r="E414" s="52"/>
      <c r="F414" s="52"/>
    </row>
    <row r="415" spans="1:9" ht="15" customHeight="1">
      <c r="A415" s="52">
        <f t="shared" si="37"/>
        <v>98070</v>
      </c>
      <c r="B415" s="52" t="s">
        <v>34</v>
      </c>
      <c r="C415" s="1" t="str">
        <f>$J$4</f>
        <v xml:space="preserve">strieborná </v>
      </c>
      <c r="D415" s="53">
        <v>98070</v>
      </c>
      <c r="E415" s="52" t="str">
        <f>+VLOOKUP(A415,cennik!$A:$G,2,FALSE)</f>
        <v>SEVROLL Gemini-2 úch.lišta 2,7m strieborná</v>
      </c>
      <c r="F415" s="52" t="str">
        <f>+VLOOKUP(A415,cennik!A:B,2,FALSE)</f>
        <v>SEVROLL Gemini-2 úch.lišta 2,7m strieborná</v>
      </c>
      <c r="G415" s="1" t="e">
        <f>+VLOOKUP(A415,#REF!,4,FALSE)</f>
        <v>#REF!</v>
      </c>
      <c r="I415" s="1" t="str">
        <f>$J$4</f>
        <v xml:space="preserve">strieborná </v>
      </c>
    </row>
    <row r="416" spans="1:9" ht="15" customHeight="1">
      <c r="A416" s="52">
        <f t="shared" si="37"/>
        <v>98071</v>
      </c>
      <c r="B416" s="52"/>
      <c r="C416" s="1" t="str">
        <f>$J$6</f>
        <v>oliva</v>
      </c>
      <c r="D416" s="53">
        <v>98071</v>
      </c>
      <c r="E416" s="52" t="str">
        <f>+VLOOKUP(A416,cennik!$A:$G,2,FALSE)</f>
        <v>SEVROLL Gemini-2 úch.lišta 2,7m oliva</v>
      </c>
      <c r="F416" s="52" t="str">
        <f>+VLOOKUP(A416,cennik!A:B,2,FALSE)</f>
        <v>SEVROLL Gemini-2 úch.lišta 2,7m oliva</v>
      </c>
      <c r="G416" s="1" t="e">
        <f>+VLOOKUP(A416,#REF!,4,FALSE)</f>
        <v>#REF!</v>
      </c>
      <c r="I416" s="1" t="str">
        <f>$J$6</f>
        <v>oliva</v>
      </c>
    </row>
    <row r="417" spans="1:9" ht="15" customHeight="1">
      <c r="A417" s="52">
        <v>394690</v>
      </c>
      <c r="B417" s="181" t="s">
        <v>7989</v>
      </c>
      <c r="C417" s="1" t="str">
        <f>$J$4</f>
        <v xml:space="preserve">strieborná </v>
      </c>
      <c r="D417" s="52">
        <v>394690</v>
      </c>
      <c r="E417" s="52" t="str">
        <f>+VLOOKUP(A417,cennik!$A:$G,2,FALSE)</f>
        <v>SEVROLL ROMEO II ÚCH.LIŠTA 2,7 M STR.</v>
      </c>
      <c r="F417" s="52" t="str">
        <f>+VLOOKUP(A417,cennik!A:B,2,FALSE)</f>
        <v>SEVROLL ROMEO II ÚCH.LIŠTA 2,7 M STR.</v>
      </c>
      <c r="I417" s="1" t="str">
        <f>$J$4</f>
        <v xml:space="preserve">strieborná </v>
      </c>
    </row>
    <row r="418" spans="1:9" ht="15" customHeight="1">
      <c r="A418" s="52">
        <v>394691</v>
      </c>
      <c r="B418" s="52"/>
      <c r="C418" s="1" t="str">
        <f>$J$6</f>
        <v>oliva</v>
      </c>
      <c r="D418" s="52">
        <v>394691</v>
      </c>
      <c r="E418" s="52" t="str">
        <f>+VLOOKUP(A418,cennik!$A:$G,2,FALSE)</f>
        <v/>
      </c>
      <c r="F418" s="52" t="str">
        <f>+VLOOKUP(A418,cennik!A:B,2,FALSE)</f>
        <v/>
      </c>
      <c r="I418" s="1" t="str">
        <f>$J$6</f>
        <v>oliva</v>
      </c>
    </row>
    <row r="419" spans="1:9" ht="15" customHeight="1">
      <c r="A419" s="52">
        <f t="shared" si="37"/>
        <v>98072</v>
      </c>
      <c r="B419" s="52"/>
      <c r="C419" s="1" t="str">
        <f>$J$5</f>
        <v>zlatá</v>
      </c>
      <c r="D419" s="53">
        <v>98072</v>
      </c>
      <c r="E419" s="52" t="str">
        <f>+VLOOKUP(A419,cennik!$A:$G,2,FALSE)</f>
        <v>SEVROLL Gemini Gemini-2 úchytová lišta 2,7m</v>
      </c>
      <c r="F419" s="52" t="str">
        <f>+VLOOKUP(A419,cennik!A:B,2,FALSE)</f>
        <v>SEVROLL Gemini Gemini-2 úchytová lišta 2,7m</v>
      </c>
      <c r="G419" s="1" t="e">
        <f>+VLOOKUP(A419,#REF!,4,FALSE)</f>
        <v>#REF!</v>
      </c>
      <c r="I419" s="1" t="str">
        <f>$J$5</f>
        <v>zlatá</v>
      </c>
    </row>
    <row r="420" spans="1:9" ht="15" customHeight="1">
      <c r="A420" s="52">
        <f t="shared" si="37"/>
        <v>0</v>
      </c>
      <c r="B420" s="52"/>
      <c r="D420" s="53"/>
      <c r="E420" s="52" t="e">
        <f>+VLOOKUP(A420,cennik!$A:$G,2,FALSE)</f>
        <v>#N/A</v>
      </c>
      <c r="F420" s="52" t="e">
        <f>+VLOOKUP(A420,cennik!A:B,2,FALSE)</f>
        <v>#N/A</v>
      </c>
      <c r="G420" s="1" t="e">
        <f>+VLOOKUP(A420,#REF!,4,FALSE)</f>
        <v>#REF!</v>
      </c>
    </row>
    <row r="421" spans="1:9" ht="15" customHeight="1">
      <c r="A421" s="52">
        <f t="shared" si="37"/>
        <v>135366</v>
      </c>
      <c r="B421" s="52" t="s">
        <v>35</v>
      </c>
      <c r="C421" s="1" t="str">
        <f>$J$4</f>
        <v xml:space="preserve">strieborná </v>
      </c>
      <c r="D421" s="53">
        <v>135366</v>
      </c>
      <c r="E421" s="52" t="str">
        <f>+VLOOKUP(A421,cennik!$A:$G,2,FALSE)</f>
        <v>SEVROLL- ROMEO II ÚCH.LIŠTA 2,7 M STR.</v>
      </c>
      <c r="F421" s="52" t="str">
        <f>+VLOOKUP(A421,cennik!A:B,2,FALSE)</f>
        <v>SEVROLL- ROMEO II ÚCH.LIŠTA 2,7 M STR.</v>
      </c>
      <c r="G421" s="1" t="e">
        <f>+VLOOKUP(A421,#REF!,4,FALSE)</f>
        <v>#REF!</v>
      </c>
      <c r="I421" s="1" t="str">
        <f>$J$4</f>
        <v xml:space="preserve">strieborná </v>
      </c>
    </row>
    <row r="422" spans="1:9" ht="15" customHeight="1">
      <c r="A422" s="52">
        <f t="shared" si="37"/>
        <v>135365</v>
      </c>
      <c r="B422" s="52"/>
      <c r="C422" s="1" t="str">
        <f>$J$6</f>
        <v>oliva</v>
      </c>
      <c r="D422" s="53">
        <v>135365</v>
      </c>
      <c r="E422" s="52" t="str">
        <f>+VLOOKUP(A422,cennik!$A:$G,2,FALSE)</f>
        <v>SEVROLL Romeo II úch.lišta 2,7m oliva</v>
      </c>
      <c r="F422" s="52" t="str">
        <f>+VLOOKUP(A422,cennik!A:B,2,FALSE)</f>
        <v>SEVROLL Romeo II úch.lišta 2,7m oliva</v>
      </c>
      <c r="G422" s="1" t="e">
        <f>+VLOOKUP(A422,#REF!,4,FALSE)</f>
        <v>#REF!</v>
      </c>
      <c r="I422" s="1" t="str">
        <f>$J$6</f>
        <v>oliva</v>
      </c>
    </row>
    <row r="423" spans="1:9" ht="15" customHeight="1">
      <c r="A423" s="52">
        <f t="shared" si="37"/>
        <v>0</v>
      </c>
      <c r="B423" s="52"/>
      <c r="D423" s="53"/>
      <c r="E423" s="52" t="e">
        <f>+VLOOKUP(A423,cennik!$A:$G,2,FALSE)</f>
        <v>#N/A</v>
      </c>
      <c r="F423" s="52" t="e">
        <f>+VLOOKUP(A423,cennik!A:B,2,FALSE)</f>
        <v>#N/A</v>
      </c>
      <c r="G423" s="1" t="e">
        <f>+VLOOKUP(A423,#REF!,4,FALSE)</f>
        <v>#REF!</v>
      </c>
    </row>
    <row r="424" spans="1:9" ht="15" customHeight="1">
      <c r="A424" s="52">
        <f t="shared" si="37"/>
        <v>135344</v>
      </c>
      <c r="B424" s="181" t="s">
        <v>2704</v>
      </c>
      <c r="C424" s="1" t="str">
        <f>$J$4</f>
        <v xml:space="preserve">strieborná </v>
      </c>
      <c r="D424" s="53">
        <v>135344</v>
      </c>
      <c r="E424" s="52" t="str">
        <f>+VLOOKUP(A424,cennik!$A:$G,2,FALSE)</f>
        <v>SEVROLL Julia II úch.lišta 2,7m strieborná</v>
      </c>
      <c r="F424" s="52" t="str">
        <f>+VLOOKUP(A424,cennik!A:B,2,FALSE)</f>
        <v>SEVROLL Julia II úch.lišta 2,7m strieborná</v>
      </c>
      <c r="G424" s="1" t="e">
        <f>+VLOOKUP(A424,#REF!,4,FALSE)</f>
        <v>#REF!</v>
      </c>
      <c r="I424" s="1" t="str">
        <f>$J$4</f>
        <v xml:space="preserve">strieborná </v>
      </c>
    </row>
    <row r="425" spans="1:9" ht="15" customHeight="1">
      <c r="A425" s="52">
        <f t="shared" si="37"/>
        <v>135342</v>
      </c>
      <c r="B425" s="52"/>
      <c r="C425" s="1" t="str">
        <f>$J$6</f>
        <v>oliva</v>
      </c>
      <c r="D425" s="53">
        <v>135342</v>
      </c>
      <c r="E425" s="52" t="str">
        <f>+VLOOKUP(A425,cennik!$A:$G,2,FALSE)</f>
        <v>SEVROLL Julia II úch.lišta 2,7m oliva</v>
      </c>
      <c r="F425" s="52" t="str">
        <f>+VLOOKUP(A425,cennik!A:B,2,FALSE)</f>
        <v>SEVROLL Julia II úch.lišta 2,7m oliva</v>
      </c>
      <c r="G425" s="1" t="e">
        <f>+VLOOKUP(A425,#REF!,4,FALSE)</f>
        <v>#REF!</v>
      </c>
      <c r="I425" s="1" t="str">
        <f>$J$6</f>
        <v>oliva</v>
      </c>
    </row>
    <row r="426" spans="1:9" ht="15" customHeight="1">
      <c r="B426" s="52"/>
      <c r="E426" s="52"/>
      <c r="F426" s="52"/>
    </row>
    <row r="427" spans="1:9" ht="15" customHeight="1">
      <c r="A427" s="224">
        <v>223573</v>
      </c>
      <c r="B427" s="181" t="s">
        <v>1447</v>
      </c>
      <c r="C427" s="1" t="str">
        <f>$J$6</f>
        <v>oliva</v>
      </c>
      <c r="D427" s="223">
        <v>223573</v>
      </c>
      <c r="E427" s="52" t="str">
        <f>+VLOOKUP(A427,cennik!$A:$G,2,FALSE)</f>
        <v>SEVROLL karat úchytová lišta 2,7m oliva</v>
      </c>
      <c r="F427" s="52" t="str">
        <f>+VLOOKUP(A427,cennik!A:B,2,FALSE)</f>
        <v>SEVROLL karat úchytová lišta 2,7m oliva</v>
      </c>
      <c r="I427" s="1" t="str">
        <f>$J$6</f>
        <v>oliva</v>
      </c>
    </row>
    <row r="428" spans="1:9" ht="15" customHeight="1">
      <c r="A428" s="224">
        <v>223572</v>
      </c>
      <c r="B428" s="52"/>
      <c r="C428" s="1" t="str">
        <f>$J$4</f>
        <v xml:space="preserve">strieborná </v>
      </c>
      <c r="D428" s="223">
        <v>223572</v>
      </c>
      <c r="E428" s="52" t="str">
        <f>+VLOOKUP(A428,cennik!$A:$G,2,FALSE)</f>
        <v>SEVROLL Karat úch.lišta 2,7m str</v>
      </c>
      <c r="F428" s="52" t="str">
        <f>+VLOOKUP(A428,cennik!A:B,2,FALSE)</f>
        <v>SEVROLL Karat úch.lišta 2,7m str</v>
      </c>
      <c r="I428" s="1" t="str">
        <f>$J$4</f>
        <v xml:space="preserve">strieborná </v>
      </c>
    </row>
    <row r="429" spans="1:9" ht="15" customHeight="1">
      <c r="A429" s="52"/>
      <c r="B429" s="52"/>
      <c r="D429" s="53"/>
      <c r="E429" s="52"/>
      <c r="F429" s="52"/>
    </row>
    <row r="430" spans="1:9" ht="15" customHeight="1">
      <c r="A430" s="52"/>
      <c r="B430" s="52"/>
      <c r="D430" s="53"/>
      <c r="E430" s="52"/>
      <c r="F430" s="52"/>
    </row>
    <row r="431" spans="1:9" ht="15" customHeight="1">
      <c r="A431" s="52">
        <f t="shared" si="37"/>
        <v>179229</v>
      </c>
      <c r="B431" s="181" t="s">
        <v>1032</v>
      </c>
      <c r="C431" s="1" t="str">
        <f>$J$4</f>
        <v xml:space="preserve">strieborná </v>
      </c>
      <c r="D431" s="53">
        <v>179229</v>
      </c>
      <c r="E431" s="52" t="str">
        <f>+VLOOKUP(A431,cennik!$A:$G,2,FALSE)</f>
        <v>SEVROLL Future II úch.lišta 2,7m strieborná</v>
      </c>
      <c r="F431" s="52" t="str">
        <f>+VLOOKUP(A431,cennik!A:B,2,FALSE)</f>
        <v>SEVROLL Future II úch.lišta 2,7m strieborná</v>
      </c>
      <c r="G431" s="1" t="e">
        <f>+VLOOKUP(A431,#REF!,4,FALSE)</f>
        <v>#REF!</v>
      </c>
      <c r="I431" s="1" t="str">
        <f>$J$4</f>
        <v xml:space="preserve">strieborná </v>
      </c>
    </row>
    <row r="432" spans="1:9" ht="15" customHeight="1">
      <c r="A432" s="52">
        <f t="shared" si="37"/>
        <v>179230</v>
      </c>
      <c r="B432" s="52"/>
      <c r="C432" s="1" t="str">
        <f>$J$6</f>
        <v>oliva</v>
      </c>
      <c r="D432" s="53">
        <v>179230</v>
      </c>
      <c r="E432" s="52" t="str">
        <f>+VLOOKUP(A432,cennik!$A:$G,2,FALSE)</f>
        <v>SEVROLL Future II úchytová lišta 2,7m oliva</v>
      </c>
      <c r="F432" s="52" t="str">
        <f>+VLOOKUP(A432,cennik!A:B,2,FALSE)</f>
        <v>SEVROLL Future II úchytová lišta 2,7m oliva</v>
      </c>
      <c r="G432" s="1" t="e">
        <f>+VLOOKUP(A432,#REF!,4,FALSE)</f>
        <v>#REF!</v>
      </c>
      <c r="I432" s="1" t="str">
        <f>$J$6</f>
        <v>oliva</v>
      </c>
    </row>
    <row r="433" spans="1:9" ht="15" customHeight="1">
      <c r="A433" s="52"/>
      <c r="B433" s="52"/>
      <c r="E433" s="52"/>
      <c r="F433" s="52"/>
    </row>
    <row r="434" spans="1:9" ht="15" customHeight="1">
      <c r="A434" s="52">
        <f t="shared" si="37"/>
        <v>179224</v>
      </c>
      <c r="B434" s="52" t="s">
        <v>127</v>
      </c>
      <c r="C434" s="1" t="str">
        <f>$J$4</f>
        <v xml:space="preserve">strieborná </v>
      </c>
      <c r="D434" s="63">
        <v>179224</v>
      </c>
      <c r="E434" s="52" t="str">
        <f>+VLOOKUP(A434,cennik!$A:$G,2,FALSE)</f>
        <v>SEVROLL-FUTURE II ÚCH.LIŠTA 3,5 M str.</v>
      </c>
      <c r="F434" s="52" t="str">
        <f>+VLOOKUP(A434,cennik!A:B,2,FALSE)</f>
        <v>SEVROLL-FUTURE II ÚCH.LIŠTA 3,5 M str.</v>
      </c>
      <c r="I434" s="1" t="str">
        <f>$J$4</f>
        <v xml:space="preserve">strieborná </v>
      </c>
    </row>
    <row r="435" spans="1:9" ht="15" customHeight="1">
      <c r="A435" s="52">
        <f t="shared" si="37"/>
        <v>179227</v>
      </c>
      <c r="B435" s="52"/>
      <c r="C435" s="1" t="str">
        <f>$J$6</f>
        <v>oliva</v>
      </c>
      <c r="D435" s="63">
        <v>179227</v>
      </c>
      <c r="E435" s="52" t="str">
        <f>+VLOOKUP(A435,cennik!$A:$G,2,FALSE)</f>
        <v>SEVROLL Future II úchytová lišta 3,5m oliva</v>
      </c>
      <c r="F435" s="52" t="str">
        <f>+VLOOKUP(A435,cennik!A:B,2,FALSE)</f>
        <v>SEVROLL Future II úchytová lišta 3,5m oliva</v>
      </c>
      <c r="I435" s="1" t="str">
        <f>$J$6</f>
        <v>oliva</v>
      </c>
    </row>
    <row r="436" spans="1:9" ht="15" customHeight="1">
      <c r="A436" s="52"/>
      <c r="B436" s="52"/>
      <c r="D436" s="63"/>
      <c r="E436" s="52"/>
      <c r="F436" s="52"/>
    </row>
    <row r="437" spans="1:9" ht="15" customHeight="1">
      <c r="A437" s="52">
        <f t="shared" si="37"/>
        <v>100102</v>
      </c>
      <c r="B437" s="181" t="s">
        <v>995</v>
      </c>
      <c r="C437" s="1" t="str">
        <f>$J$4</f>
        <v xml:space="preserve">strieborná </v>
      </c>
      <c r="D437" s="189">
        <v>100102</v>
      </c>
      <c r="E437" s="52" t="str">
        <f>+VLOOKUP(A437,cennik!$A:$G,2,FALSE)</f>
        <v>SEVROLL Master úchytová lišta 2,7m striebor</v>
      </c>
      <c r="F437" s="52" t="str">
        <f>+VLOOKUP(A437,cennik!A:B,2,FALSE)</f>
        <v>SEVROLL Master úchytová lišta 2,7m striebor</v>
      </c>
      <c r="I437" s="1" t="str">
        <f>$J$4</f>
        <v xml:space="preserve">strieborná </v>
      </c>
    </row>
    <row r="438" spans="1:9" ht="15" customHeight="1">
      <c r="A438" s="52">
        <f t="shared" si="37"/>
        <v>100103</v>
      </c>
      <c r="B438" s="52"/>
      <c r="C438" s="1" t="str">
        <f>$J$6</f>
        <v>oliva</v>
      </c>
      <c r="D438" s="189">
        <v>100103</v>
      </c>
      <c r="E438" s="52" t="str">
        <f>+VLOOKUP(A438,cennik!$A:$G,2,FALSE)</f>
        <v>SEVROLL Master úchytová lišta 2,7m oliva</v>
      </c>
      <c r="F438" s="52" t="str">
        <f>+VLOOKUP(A438,cennik!A:B,2,FALSE)</f>
        <v>SEVROLL Master úchytová lišta 2,7m oliva</v>
      </c>
      <c r="I438" s="1" t="str">
        <f>$J$6</f>
        <v>oliva</v>
      </c>
    </row>
    <row r="439" spans="1:9" ht="15" customHeight="1">
      <c r="A439" s="52">
        <f t="shared" si="37"/>
        <v>100105</v>
      </c>
      <c r="B439" s="181" t="s">
        <v>996</v>
      </c>
      <c r="C439" s="1" t="str">
        <f>$J$4</f>
        <v xml:space="preserve">strieborná </v>
      </c>
      <c r="D439" s="189">
        <v>100105</v>
      </c>
      <c r="E439" s="52" t="str">
        <f>+VLOOKUP(A439,cennik!$A:$G,2,FALSE)</f>
        <v>SEVROLL Master úch.lišta 3m strieborná</v>
      </c>
      <c r="F439" s="52" t="str">
        <f>+VLOOKUP(A439,cennik!A:B,2,FALSE)</f>
        <v>SEVROLL Master úch.lišta 3m strieborná</v>
      </c>
      <c r="I439" s="1" t="str">
        <f>$J$4</f>
        <v xml:space="preserve">strieborná </v>
      </c>
    </row>
    <row r="440" spans="1:9" ht="15" customHeight="1">
      <c r="A440" s="52">
        <f t="shared" si="37"/>
        <v>100106</v>
      </c>
      <c r="B440" s="52"/>
      <c r="C440" s="1" t="str">
        <f>$J$6</f>
        <v>oliva</v>
      </c>
      <c r="D440" s="189">
        <v>100106</v>
      </c>
      <c r="E440" s="52" t="str">
        <f>+VLOOKUP(A440,cennik!$A:$G,2,FALSE)</f>
        <v>SEVROLL Master úchytová lišta 3m oliva</v>
      </c>
      <c r="F440" s="52" t="str">
        <f>+VLOOKUP(A440,cennik!A:B,2,FALSE)</f>
        <v>SEVROLL Master úchytová lišta 3m oliva</v>
      </c>
      <c r="I440" s="1" t="str">
        <f>$J$6</f>
        <v>oliva</v>
      </c>
    </row>
    <row r="441" spans="1:9" ht="15" customHeight="1">
      <c r="A441" s="52">
        <f t="shared" si="37"/>
        <v>0</v>
      </c>
      <c r="B441" s="181" t="s">
        <v>2948</v>
      </c>
      <c r="D441" s="189"/>
      <c r="E441" s="52"/>
      <c r="F441" s="52"/>
    </row>
    <row r="442" spans="1:9" ht="15" customHeight="1">
      <c r="A442" s="52">
        <f t="shared" si="37"/>
        <v>215234</v>
      </c>
      <c r="B442" s="52"/>
      <c r="C442" s="1" t="str">
        <f>$J$4</f>
        <v xml:space="preserve">strieborná </v>
      </c>
      <c r="D442" s="189">
        <v>215234</v>
      </c>
      <c r="E442" s="52" t="str">
        <f>+VLOOKUP(A442,cennik!$A:$G,2,FALSE)</f>
        <v>SEVROLL Polo úch.lišta 10mm 2,70m strieborná</v>
      </c>
      <c r="F442" s="52" t="str">
        <f>+VLOOKUP(A442,cennik!A:B,2,FALSE)</f>
        <v>SEVROLL Polo úch.lišta 10mm 2,70m strieborná</v>
      </c>
      <c r="I442" s="1" t="str">
        <f>$J$4</f>
        <v xml:space="preserve">strieborná </v>
      </c>
    </row>
    <row r="443" spans="1:9" ht="15" customHeight="1">
      <c r="A443" s="52">
        <f t="shared" si="37"/>
        <v>223551</v>
      </c>
      <c r="B443" s="52"/>
      <c r="C443" s="1" t="str">
        <f>$J$6</f>
        <v>oliva</v>
      </c>
      <c r="D443">
        <v>223551</v>
      </c>
      <c r="E443" s="52" t="str">
        <f>+VLOOKUP(A443,cennik!$A:$G,2,FALSE)</f>
        <v>SEVROLL Polo úchytová lišta 10mm 2,7m oliva</v>
      </c>
      <c r="F443" s="52" t="str">
        <f>+VLOOKUP(A443,cennik!A:B,2,FALSE)</f>
        <v>SEVROLL Polo úchytová lišta 10mm 2,7m oliva</v>
      </c>
      <c r="I443" s="1" t="str">
        <f>$J$6</f>
        <v>oliva</v>
      </c>
    </row>
    <row r="444" spans="1:9" ht="15" customHeight="1">
      <c r="A444" s="52"/>
      <c r="B444" s="181" t="s">
        <v>2929</v>
      </c>
      <c r="D444" s="189"/>
      <c r="E444" s="52"/>
      <c r="F444" s="52"/>
    </row>
    <row r="445" spans="1:9" ht="15" customHeight="1">
      <c r="A445" s="52">
        <f>+D445</f>
        <v>215233</v>
      </c>
      <c r="B445" s="52"/>
      <c r="C445" s="1" t="str">
        <f>$J$4</f>
        <v xml:space="preserve">strieborná </v>
      </c>
      <c r="D445" s="189">
        <v>215233</v>
      </c>
      <c r="E445" s="52" t="str">
        <f>+VLOOKUP(A445,cennik!$A:$G,2,FALSE)</f>
        <v>SEVROLL Fala úch.lišta 10mm 2,70m strieborná</v>
      </c>
      <c r="F445" s="52" t="str">
        <f>+VLOOKUP(A445,cennik!A:B,2,FALSE)</f>
        <v>SEVROLL Fala úch.lišta 10mm 2,70m strieborná</v>
      </c>
      <c r="I445" s="1" t="str">
        <f>$J$4</f>
        <v xml:space="preserve">strieborná </v>
      </c>
    </row>
    <row r="446" spans="1:9" ht="15" customHeight="1">
      <c r="A446" s="52">
        <f>+D446</f>
        <v>223550</v>
      </c>
      <c r="B446" s="52"/>
      <c r="C446" s="1" t="str">
        <f>$J$6</f>
        <v>oliva</v>
      </c>
      <c r="D446" s="189">
        <v>223550</v>
      </c>
      <c r="E446" s="52" t="str">
        <f>+VLOOKUP(A446,cennik!$A:$G,2,FALSE)</f>
        <v>SEVROLL Fala úchytová lišta 10mm 2,70m oliva</v>
      </c>
      <c r="F446" s="52" t="str">
        <f>+VLOOKUP(A446,cennik!A:B,2,FALSE)</f>
        <v>SEVROLL Fala úchytová lišta 10mm 2,70m oliva</v>
      </c>
      <c r="I446" s="1" t="str">
        <f>$J$6</f>
        <v>oliva</v>
      </c>
    </row>
    <row r="447" spans="1:9" ht="15" customHeight="1">
      <c r="A447" s="52"/>
      <c r="B447" s="181" t="s">
        <v>2946</v>
      </c>
      <c r="D447" s="189"/>
      <c r="E447" s="52"/>
      <c r="F447" s="52"/>
    </row>
    <row r="448" spans="1:9" ht="15" customHeight="1">
      <c r="A448" s="52">
        <f>+D448</f>
        <v>349474</v>
      </c>
      <c r="B448" s="52"/>
      <c r="C448" s="1" t="str">
        <f>$J$4</f>
        <v xml:space="preserve">strieborná </v>
      </c>
      <c r="D448" s="189">
        <v>349474</v>
      </c>
      <c r="E448" s="52" t="str">
        <f>+VLOOKUP(A448,cennik!$A:$G,2,FALSE)</f>
        <v>SEVROLL Era úchytová lišta 18mm 2,70m strieborná</v>
      </c>
      <c r="F448" s="52" t="str">
        <f>+VLOOKUP(A448,cennik!A:B,2,FALSE)</f>
        <v>SEVROLL Era úchytová lišta 18mm 2,70m strieborná</v>
      </c>
      <c r="I448" s="1" t="str">
        <f>$J$4</f>
        <v xml:space="preserve">strieborná </v>
      </c>
    </row>
    <row r="449" spans="1:9" ht="15" customHeight="1">
      <c r="A449" s="575">
        <v>372603</v>
      </c>
      <c r="B449" s="575"/>
      <c r="C449" s="575" t="str">
        <f>$J$15</f>
        <v>biela lesk</v>
      </c>
      <c r="D449" s="575">
        <v>372603</v>
      </c>
      <c r="E449" s="573" t="str">
        <f>+VLOOKUP(A449,cennik!$A:$G,2,FALSE)</f>
        <v>Sevroll Era úchytová lišta 18mm 2,70m biela lesk</v>
      </c>
      <c r="F449" s="573" t="str">
        <f>+VLOOKUP(A449,cennik!A:B,2,FALSE)</f>
        <v>Sevroll Era úchytová lišta 18mm 2,70m biela lesk</v>
      </c>
      <c r="G449" s="575"/>
      <c r="H449" s="575"/>
      <c r="I449" s="575" t="str">
        <f>$J$15</f>
        <v>biela lesk</v>
      </c>
    </row>
    <row r="450" spans="1:9" ht="15" customHeight="1">
      <c r="A450" s="52">
        <f>+D450</f>
        <v>349794</v>
      </c>
      <c r="B450" s="52"/>
      <c r="C450" s="1" t="str">
        <f>$J$6</f>
        <v>oliva</v>
      </c>
      <c r="D450" s="189">
        <v>349794</v>
      </c>
      <c r="E450" s="52" t="str">
        <f>+VLOOKUP(A450,cennik!$A:$G,2,FALSE)</f>
        <v>SEVROLL Era úchytová lišta 18mm 2,70m oliva</v>
      </c>
      <c r="F450" s="52" t="str">
        <f>+VLOOKUP(A450,cennik!A:B,2,FALSE)</f>
        <v>SEVROLL Era úchytová lišta 18mm 2,70m oliva</v>
      </c>
      <c r="I450" s="1" t="str">
        <f>$J$6</f>
        <v>oliva</v>
      </c>
    </row>
    <row r="451" spans="1:9" ht="15" customHeight="1">
      <c r="A451" s="52"/>
      <c r="B451" s="181" t="s">
        <v>2947</v>
      </c>
      <c r="D451"/>
      <c r="E451" s="52"/>
      <c r="F451" s="52"/>
    </row>
    <row r="452" spans="1:9" ht="15" customHeight="1">
      <c r="A452" s="52">
        <f>+D452</f>
        <v>341559</v>
      </c>
      <c r="B452" s="52"/>
      <c r="C452" s="1" t="str">
        <f>$J$4</f>
        <v xml:space="preserve">strieborná </v>
      </c>
      <c r="D452" s="189">
        <v>341559</v>
      </c>
      <c r="E452" s="52" t="str">
        <f>+VLOOKUP(A452,cennik!$A:$G,2,FALSE)</f>
        <v>SEVROLL Rekord úchytková lišta 18mm 2,70m strieborná</v>
      </c>
      <c r="F452" s="52" t="str">
        <f>+VLOOKUP(A452,cennik!A:B,2,FALSE)</f>
        <v>SEVROLL Rekord úchytková lišta 18mm 2,70m strieborná</v>
      </c>
      <c r="I452" s="1" t="str">
        <f>$J$4</f>
        <v xml:space="preserve">strieborná </v>
      </c>
    </row>
    <row r="453" spans="1:9" s="578" customFormat="1" ht="15" customHeight="1">
      <c r="A453" s="52">
        <f>+D453</f>
        <v>341560</v>
      </c>
      <c r="B453" s="52"/>
      <c r="C453" s="1" t="str">
        <f>$J$6</f>
        <v>oliva</v>
      </c>
      <c r="D453" s="189">
        <v>341560</v>
      </c>
      <c r="E453" s="52" t="str">
        <f>+VLOOKUP(A453,cennik!$A:$G,2,FALSE)</f>
        <v>SEVROLL Rekord úchytková lišta 18mm 2,70m oliva</v>
      </c>
      <c r="F453" s="52" t="str">
        <f>+VLOOKUP(A453,cennik!A:B,2,FALSE)</f>
        <v>SEVROLL Rekord úchytková lišta 18mm 2,70m oliva</v>
      </c>
      <c r="G453" s="1"/>
      <c r="H453" s="1"/>
      <c r="I453" s="1" t="str">
        <f>$J$6</f>
        <v>oliva</v>
      </c>
    </row>
    <row r="454" spans="1:9" s="578" customFormat="1" ht="15" customHeight="1">
      <c r="A454" s="52"/>
      <c r="B454" s="52"/>
      <c r="C454" s="1"/>
      <c r="D454" s="189"/>
      <c r="E454" s="52"/>
      <c r="F454" s="52"/>
      <c r="G454" s="1"/>
      <c r="H454" s="1"/>
      <c r="I454" s="1"/>
    </row>
    <row r="455" spans="1:9" s="578" customFormat="1" ht="15" customHeight="1">
      <c r="A455" s="579">
        <f t="shared" si="37"/>
        <v>222788</v>
      </c>
      <c r="B455" s="581" t="s">
        <v>1040</v>
      </c>
      <c r="C455" s="578" t="str">
        <f>$J$4</f>
        <v xml:space="preserve">strieborná </v>
      </c>
      <c r="D455" s="580">
        <v>222788</v>
      </c>
      <c r="E455" s="579" t="str">
        <f>+VLOOKUP(A455,cennik!$A:$G,2,FALSE)</f>
        <v>SEVROLL Alfa II úch.lišta 18mm 2,7m strieborná</v>
      </c>
      <c r="F455" s="579" t="str">
        <f>+VLOOKUP(A455,cennik!A:B,2,FALSE)</f>
        <v>SEVROLL Alfa II úch.lišta 18mm 2,7m strieborná</v>
      </c>
      <c r="I455" s="578" t="str">
        <f>$J$4</f>
        <v xml:space="preserve">strieborná </v>
      </c>
    </row>
    <row r="456" spans="1:9" s="578" customFormat="1" ht="15" customHeight="1">
      <c r="A456" s="579">
        <f t="shared" si="37"/>
        <v>222789</v>
      </c>
      <c r="B456" s="579"/>
      <c r="C456" s="578" t="str">
        <f>$J$6</f>
        <v>oliva</v>
      </c>
      <c r="D456" s="580">
        <v>222789</v>
      </c>
      <c r="E456" s="579" t="str">
        <f>+VLOOKUP(A456,cennik!$A:$G,2,FALSE)</f>
        <v>SEVROLL Alfa II úch.lišta 18mm 2,7m oliva</v>
      </c>
      <c r="F456" s="579" t="str">
        <f>+VLOOKUP(A456,cennik!A:B,2,FALSE)</f>
        <v>SEVROLL Alfa II úch.lišta 18mm 2,7m oliva</v>
      </c>
      <c r="I456" s="578" t="str">
        <f>$J$6</f>
        <v>oliva</v>
      </c>
    </row>
    <row r="457" spans="1:9" s="578" customFormat="1" ht="15" customHeight="1">
      <c r="A457" s="579">
        <f t="shared" si="37"/>
        <v>222787</v>
      </c>
      <c r="B457" s="579"/>
      <c r="C457" s="578" t="str">
        <f>$J$5</f>
        <v>zlatá</v>
      </c>
      <c r="D457" s="580">
        <v>222787</v>
      </c>
      <c r="E457" s="579" t="str">
        <f>+VLOOKUP(A457,cennik!$A:$G,2,FALSE)</f>
        <v>SEVROLL Alfa II úch.lišta 18mm 2,7m zlatá</v>
      </c>
      <c r="F457" s="579" t="str">
        <f>+VLOOKUP(A457,cennik!A:B,2,FALSE)</f>
        <v>SEVROLL Alfa II úch.lišta 18mm 2,7m zlatá</v>
      </c>
      <c r="I457" s="578" t="str">
        <f>$J$5</f>
        <v>zlatá</v>
      </c>
    </row>
    <row r="458" spans="1:9" s="578" customFormat="1" ht="15" customHeight="1">
      <c r="A458" s="579">
        <f t="shared" si="37"/>
        <v>276730</v>
      </c>
      <c r="B458" s="579"/>
      <c r="C458" s="578" t="str">
        <f>$J$15</f>
        <v>biela lesk</v>
      </c>
      <c r="D458" s="580">
        <v>276730</v>
      </c>
      <c r="E458" s="579" t="str">
        <f>+VLOOKUP(A458,cennik!$A:$G,2,FALSE)</f>
        <v>SEVROLL Alfa II lišta 18mm 2,7m biela lesk</v>
      </c>
      <c r="F458" s="579" t="str">
        <f>+VLOOKUP(A458,cennik!A:B,2,FALSE)</f>
        <v>SEVROLL Alfa II lišta 18mm 2,7m biela lesk</v>
      </c>
      <c r="I458" s="578" t="str">
        <f>$J$15</f>
        <v>biela lesk</v>
      </c>
    </row>
    <row r="459" spans="1:9" s="578" customFormat="1" ht="15" customHeight="1">
      <c r="A459" s="1">
        <v>395495</v>
      </c>
      <c r="B459" s="1"/>
      <c r="C459" s="1" t="str">
        <f>$J$16</f>
        <v>čierna lesk</v>
      </c>
      <c r="D459" s="2">
        <v>395495</v>
      </c>
      <c r="E459" s="52" t="str">
        <f>+VLOOKUP(A459,cennik!$A:$G,2,FALSE)</f>
        <v>SEVROLL Alfa II lišta 18mm 2,7m čierna lesk</v>
      </c>
      <c r="F459" s="52" t="str">
        <f>+VLOOKUP(A459,cennik!A:B,2,FALSE)</f>
        <v>SEVROLL Alfa II lišta 18mm 2,7m čierna lesk</v>
      </c>
      <c r="G459" s="1"/>
      <c r="H459" s="1"/>
      <c r="I459" s="1" t="str">
        <f>$J$16</f>
        <v>čierna lesk</v>
      </c>
    </row>
    <row r="460" spans="1:9" ht="15" customHeight="1">
      <c r="A460" s="1">
        <v>288252</v>
      </c>
      <c r="C460" s="1" t="str">
        <f>$J$17</f>
        <v>čierna mat</v>
      </c>
      <c r="D460" s="1">
        <v>288252</v>
      </c>
      <c r="E460" s="52" t="str">
        <f>+VLOOKUP(A460,cennik!$A:$G,2,FALSE)</f>
        <v>SEVROLL Alfa II lišta 18mm 2,7m čierna mat</v>
      </c>
      <c r="F460" s="52" t="str">
        <f>+VLOOKUP(A460,cennik!A:B,2,FALSE)</f>
        <v>SEVROLL Alfa II lišta 18mm 2,7m čierna mat</v>
      </c>
      <c r="I460" s="1" t="str">
        <f>$J$17</f>
        <v>čierna mat</v>
      </c>
    </row>
    <row r="461" spans="1:9" ht="15" customHeight="1">
      <c r="A461" s="577">
        <v>394791</v>
      </c>
      <c r="B461" s="578"/>
      <c r="C461" s="578" t="str">
        <f>$J$18</f>
        <v>biela mat</v>
      </c>
      <c r="D461" s="577">
        <v>394791</v>
      </c>
      <c r="E461" s="579" t="str">
        <f>+VLOOKUP(A461,cennik!$A:$G,2,FALSE)</f>
        <v>SEVROLL Alfa II lišta 18mm 2,7m biela mat</v>
      </c>
      <c r="F461" s="579" t="str">
        <f>+VLOOKUP(A461,cennik!A:B,2,FALSE)</f>
        <v>SEVROLL Alfa II lišta 18mm 2,7m biela mat</v>
      </c>
      <c r="G461" s="578"/>
      <c r="H461" s="578"/>
      <c r="I461" s="578" t="str">
        <f>$J$18</f>
        <v>biela mat</v>
      </c>
    </row>
    <row r="462" spans="1:9" ht="15" customHeight="1">
      <c r="A462" s="52"/>
      <c r="B462" s="52"/>
      <c r="D462" s="53"/>
      <c r="E462" s="52"/>
      <c r="F462" s="52"/>
    </row>
    <row r="463" spans="1:9" ht="15" customHeight="1">
      <c r="A463" s="52">
        <f t="shared" si="37"/>
        <v>89010</v>
      </c>
      <c r="B463" s="52" t="s">
        <v>36</v>
      </c>
      <c r="C463" s="1" t="str">
        <f>$J$4</f>
        <v xml:space="preserve">strieborná </v>
      </c>
      <c r="D463" s="53">
        <v>89010</v>
      </c>
      <c r="E463" s="52" t="str">
        <f>+VLOOKUP(A463,cennik!$A:$G,2,FALSE)</f>
        <v>SEVROLL spojovacia lišta H18 3m strieborná</v>
      </c>
      <c r="F463" s="52" t="str">
        <f>+VLOOKUP(A463,cennik!A:B,2,FALSE)</f>
        <v>SEVROLL spojovacia lišta H18 3m strieborná</v>
      </c>
      <c r="G463" s="1" t="e">
        <f>+VLOOKUP(A463,#REF!,4,FALSE)</f>
        <v>#REF!</v>
      </c>
      <c r="I463" s="1" t="str">
        <f>$J$4</f>
        <v xml:space="preserve">strieborná </v>
      </c>
    </row>
    <row r="464" spans="1:9" ht="15" customHeight="1">
      <c r="A464" s="52">
        <f t="shared" si="37"/>
        <v>89012</v>
      </c>
      <c r="B464" s="52"/>
      <c r="C464" s="1" t="str">
        <f>$J$6</f>
        <v>oliva</v>
      </c>
      <c r="D464" s="53">
        <v>89012</v>
      </c>
      <c r="E464" s="52" t="str">
        <f>+VLOOKUP(A464,cennik!$A:$G,2,FALSE)</f>
        <v>SEVROLL spojovacia lišta H18 3m oliva</v>
      </c>
      <c r="F464" s="52" t="str">
        <f>+VLOOKUP(A464,cennik!A:B,2,FALSE)</f>
        <v>SEVROLL spojovacia lišta H18 3m oliva</v>
      </c>
      <c r="G464" s="1" t="e">
        <f>+VLOOKUP(A464,#REF!,4,FALSE)</f>
        <v>#REF!</v>
      </c>
      <c r="I464" s="1" t="str">
        <f>$J$6</f>
        <v>oliva</v>
      </c>
    </row>
    <row r="465" spans="1:9" ht="15" customHeight="1">
      <c r="A465" s="52">
        <f t="shared" si="37"/>
        <v>89011</v>
      </c>
      <c r="B465" s="52"/>
      <c r="C465" s="1" t="str">
        <f>$J$5</f>
        <v>zlatá</v>
      </c>
      <c r="D465" s="53">
        <v>89011</v>
      </c>
      <c r="E465" s="52" t="str">
        <f>+VLOOKUP(A465,cennik!$A:$G,2,FALSE)</f>
        <v>SEVROLL spojovacia lišta H18 3m zlatá</v>
      </c>
      <c r="F465" s="52" t="str">
        <f>+VLOOKUP(A465,cennik!A:B,2,FALSE)</f>
        <v>SEVROLL spojovacia lišta H18 3m zlatá</v>
      </c>
      <c r="G465" s="1" t="e">
        <f>+VLOOKUP(A465,#REF!,4,FALSE)</f>
        <v>#REF!</v>
      </c>
      <c r="I465" s="1" t="str">
        <f>$J$5</f>
        <v>zlatá</v>
      </c>
    </row>
    <row r="466" spans="1:9" ht="15" customHeight="1">
      <c r="A466" s="52">
        <f t="shared" si="37"/>
        <v>191704</v>
      </c>
      <c r="B466" s="52"/>
      <c r="C466" s="1" t="str">
        <f>$J$7</f>
        <v>oliva kartáčovaná</v>
      </c>
      <c r="D466" s="53">
        <v>191704</v>
      </c>
      <c r="E466" s="52" t="str">
        <f>+VLOOKUP(A466,cennik!$A:$G,2,FALSE)</f>
        <v>SEVROLL spojovacia lišta H18 3m oliva kartáč</v>
      </c>
      <c r="F466" s="52" t="str">
        <f>+VLOOKUP(A466,cennik!A:B,2,FALSE)</f>
        <v>SEVROLL spojovacia lišta H18 3m oliva kartáč</v>
      </c>
      <c r="I466" s="1" t="str">
        <f>$J$7</f>
        <v>oliva kartáčovaná</v>
      </c>
    </row>
    <row r="467" spans="1:9" ht="15" customHeight="1">
      <c r="A467" s="52">
        <f t="shared" si="37"/>
        <v>223332</v>
      </c>
      <c r="B467" s="52"/>
      <c r="C467" s="1" t="str">
        <f>$J$8</f>
        <v>kart. tm. oliva</v>
      </c>
      <c r="D467" s="53">
        <v>223332</v>
      </c>
      <c r="E467" s="52" t="str">
        <f>+VLOOKUP(A467,cennik!$A:$G,2,FALSE)</f>
        <v>SEVROLL spoj.lišta H18 3m oliva tm.kartáč</v>
      </c>
      <c r="F467" s="52" t="str">
        <f>+VLOOKUP(A467,cennik!A:B,2,FALSE)</f>
        <v>SEVROLL spoj.lišta H18 3m oliva tm.kartáč</v>
      </c>
      <c r="I467" s="1" t="str">
        <f>$J$8</f>
        <v>kart. tm. oliva</v>
      </c>
    </row>
    <row r="468" spans="1:9" ht="15" customHeight="1">
      <c r="A468" s="52">
        <f t="shared" si="37"/>
        <v>223391</v>
      </c>
      <c r="B468" s="52"/>
      <c r="C468" s="1" t="str">
        <f>$J$9</f>
        <v>kart. čierna</v>
      </c>
      <c r="D468" s="53">
        <v>223391</v>
      </c>
      <c r="E468" s="52" t="str">
        <f>+VLOOKUP(A468,cennik!$A:$G,2,FALSE)</f>
        <v>SEVROLL spoj.lišta H18 3m čierna kartáč</v>
      </c>
      <c r="F468" s="52" t="str">
        <f>+VLOOKUP(A468,cennik!A:B,2,FALSE)</f>
        <v>SEVROLL spoj.lišta H18 3m čierna kartáč</v>
      </c>
      <c r="I468" s="1" t="str">
        <f>$J$9</f>
        <v>kart. čierna</v>
      </c>
    </row>
    <row r="469" spans="1:9" ht="15" customHeight="1">
      <c r="A469" s="1">
        <v>405392</v>
      </c>
      <c r="C469" s="1" t="str">
        <f>$J$16</f>
        <v>čierna lesk</v>
      </c>
      <c r="D469" s="2">
        <v>405392</v>
      </c>
      <c r="E469" s="52" t="str">
        <f>+VLOOKUP(A469,cennik!$A:$G,2,FALSE)</f>
        <v>SEVROLL spojovacia lišta H18 3m čierna lesk</v>
      </c>
      <c r="F469" s="52" t="str">
        <f>+VLOOKUP(A469,cennik!A:B,2,FALSE)</f>
        <v>SEVROLL spojovacia lišta H18 3m čierna lesk</v>
      </c>
      <c r="I469" s="1" t="str">
        <f>$J$16</f>
        <v>čierna lesk</v>
      </c>
    </row>
    <row r="470" spans="1:9" ht="15" customHeight="1">
      <c r="A470" s="1">
        <v>409683</v>
      </c>
      <c r="C470" s="1" t="str">
        <f>$J$17</f>
        <v>čierna mat</v>
      </c>
      <c r="D470" s="1">
        <v>409683</v>
      </c>
      <c r="E470" s="52" t="str">
        <f>+VLOOKUP(A470,cennik!$A:$G,2,FALSE)</f>
        <v>SEVROLL spojovacia lišta H18 3m čierna mat</v>
      </c>
      <c r="F470" s="52" t="str">
        <f>+VLOOKUP(A470,cennik!A:B,2,FALSE)</f>
        <v>SEVROLL spojovacia lišta H18 3m čierna mat</v>
      </c>
      <c r="I470" s="1" t="str">
        <f>$J$17</f>
        <v>čierna mat</v>
      </c>
    </row>
    <row r="471" spans="1:9" ht="15" customHeight="1">
      <c r="A471" s="577">
        <v>406463</v>
      </c>
      <c r="B471" s="578"/>
      <c r="C471" s="578" t="str">
        <f>$J$18</f>
        <v>biela mat</v>
      </c>
      <c r="D471" s="577">
        <v>406463</v>
      </c>
      <c r="E471" s="579" t="str">
        <f>+VLOOKUP(A471,cennik!$A:$G,2,FALSE)</f>
        <v>SEVROLL spojovacia lišta H18 3m biela mat</v>
      </c>
      <c r="F471" s="579" t="str">
        <f>+VLOOKUP(A471,cennik!A:B,2,FALSE)</f>
        <v>SEVROLL spojovacia lišta H18 3m biela mat</v>
      </c>
      <c r="G471" s="578"/>
      <c r="H471" s="578"/>
      <c r="I471" s="578" t="str">
        <f>$J$18</f>
        <v>biela mat</v>
      </c>
    </row>
    <row r="472" spans="1:9" ht="15" customHeight="1">
      <c r="A472" s="52">
        <f t="shared" si="37"/>
        <v>252567</v>
      </c>
      <c r="B472" s="52"/>
      <c r="C472" s="1" t="str">
        <f>$J$15</f>
        <v>biela lesk</v>
      </c>
      <c r="D472" s="53">
        <v>252567</v>
      </c>
      <c r="E472" s="52" t="str">
        <f>+VLOOKUP(A472,cennik!$A:$G,2,FALSE)</f>
        <v>SEVROLL spojovacia lišta H18 3m biela lesk</v>
      </c>
      <c r="F472" s="52" t="str">
        <f>+VLOOKUP(A472,cennik!A:B,2,FALSE)</f>
        <v>SEVROLL spojovacia lišta H18 3m biela lesk</v>
      </c>
      <c r="I472" s="1" t="str">
        <f>$J$15</f>
        <v>biela lesk</v>
      </c>
    </row>
    <row r="473" spans="1:9" ht="15" customHeight="1">
      <c r="A473" s="52">
        <f t="shared" si="37"/>
        <v>89188</v>
      </c>
      <c r="B473" s="52" t="s">
        <v>37</v>
      </c>
      <c r="C473" s="1" t="str">
        <f>$J$4</f>
        <v xml:space="preserve">strieborná </v>
      </c>
      <c r="D473" s="53">
        <v>89188</v>
      </c>
      <c r="E473" s="52" t="str">
        <f>+VLOOKUP(A473,cennik!$A:$G,2,FALSE)</f>
        <v>SEVROLL spojovaciá lišta "T" 3m strieborná</v>
      </c>
      <c r="F473" s="52" t="str">
        <f>+VLOOKUP(A473,cennik!A:B,2,FALSE)</f>
        <v>SEVROLL spojovaciá lišta "T" 3m strieborná</v>
      </c>
      <c r="G473" s="1" t="e">
        <f>+VLOOKUP(A473,#REF!,4,FALSE)</f>
        <v>#REF!</v>
      </c>
      <c r="I473" s="1" t="str">
        <f>$J$4</f>
        <v xml:space="preserve">strieborná </v>
      </c>
    </row>
    <row r="474" spans="1:9" ht="15" customHeight="1">
      <c r="A474" s="52">
        <f t="shared" si="37"/>
        <v>89187</v>
      </c>
      <c r="B474" s="52"/>
      <c r="C474" s="1" t="str">
        <f>$J$6</f>
        <v>oliva</v>
      </c>
      <c r="D474" s="53">
        <v>89187</v>
      </c>
      <c r="E474" s="52" t="str">
        <f>+VLOOKUP(A474,cennik!$A:$G,2,FALSE)</f>
        <v>SEVROLL spojovaciá lišta "T" 3m oliva</v>
      </c>
      <c r="F474" s="52" t="str">
        <f>+VLOOKUP(A474,cennik!A:B,2,FALSE)</f>
        <v>SEVROLL spojovaciá lišta "T" 3m oliva</v>
      </c>
      <c r="G474" s="1" t="e">
        <f>+VLOOKUP(A474,#REF!,4,FALSE)</f>
        <v>#REF!</v>
      </c>
      <c r="I474" s="1" t="str">
        <f>$J$6</f>
        <v>oliva</v>
      </c>
    </row>
    <row r="475" spans="1:9" ht="15" customHeight="1">
      <c r="A475" s="52" t="str">
        <f t="shared" ref="A475:A481" si="45">+D475</f>
        <v>N/A</v>
      </c>
      <c r="B475" s="52"/>
      <c r="C475" s="1" t="str">
        <f>$J$5</f>
        <v>zlatá</v>
      </c>
      <c r="D475" s="53" t="s">
        <v>156</v>
      </c>
      <c r="E475" s="52" t="e">
        <f>+VLOOKUP(A475,cennik!$A:$G,2,FALSE)</f>
        <v>#N/A</v>
      </c>
      <c r="F475" s="52" t="e">
        <f>+VLOOKUP(A475,cennik!A:B,2,FALSE)</f>
        <v>#N/A</v>
      </c>
      <c r="G475" s="1" t="e">
        <f>+VLOOKUP(A475,#REF!,4,FALSE)</f>
        <v>#REF!</v>
      </c>
      <c r="I475" s="1" t="str">
        <f>$J$5</f>
        <v>zlatá</v>
      </c>
    </row>
    <row r="476" spans="1:9" ht="15" customHeight="1">
      <c r="A476" s="52" t="str">
        <f t="shared" si="45"/>
        <v>N/A</v>
      </c>
      <c r="B476" s="52"/>
      <c r="C476" s="1" t="str">
        <f>$J$7</f>
        <v>oliva kartáčovaná</v>
      </c>
      <c r="D476" s="53" t="s">
        <v>156</v>
      </c>
      <c r="E476" s="52" t="e">
        <f>+VLOOKUP(A476,cennik!$A:$G,2,FALSE)</f>
        <v>#N/A</v>
      </c>
      <c r="F476" s="52" t="e">
        <f>+VLOOKUP(A476,cennik!A:B,2,FALSE)</f>
        <v>#N/A</v>
      </c>
      <c r="I476" s="1" t="str">
        <f>$J$7</f>
        <v>oliva kartáčovaná</v>
      </c>
    </row>
    <row r="477" spans="1:9" ht="15" customHeight="1">
      <c r="A477" s="52" t="str">
        <f t="shared" si="45"/>
        <v>N/A</v>
      </c>
      <c r="B477" s="52"/>
      <c r="C477" s="1" t="str">
        <f>$J$8</f>
        <v>kart. tm. oliva</v>
      </c>
      <c r="D477" s="53" t="s">
        <v>156</v>
      </c>
      <c r="E477" s="52" t="e">
        <f>+VLOOKUP(A477,cennik!$A:$G,2,FALSE)</f>
        <v>#N/A</v>
      </c>
      <c r="F477" s="52" t="e">
        <f>+VLOOKUP(A477,cennik!A:B,2,FALSE)</f>
        <v>#N/A</v>
      </c>
      <c r="I477" s="1" t="str">
        <f>$J$8</f>
        <v>kart. tm. oliva</v>
      </c>
    </row>
    <row r="478" spans="1:9" ht="15" customHeight="1">
      <c r="A478" s="52" t="str">
        <f t="shared" si="45"/>
        <v>N/A</v>
      </c>
      <c r="B478" s="52"/>
      <c r="C478" s="1" t="str">
        <f>$J$9</f>
        <v>kart. čierna</v>
      </c>
      <c r="D478" s="53" t="s">
        <v>156</v>
      </c>
      <c r="E478" s="52" t="e">
        <f>+VLOOKUP(A478,cennik!$A:$G,2,FALSE)</f>
        <v>#N/A</v>
      </c>
      <c r="F478" s="52" t="e">
        <f>+VLOOKUP(A478,cennik!A:B,2,FALSE)</f>
        <v>#N/A</v>
      </c>
      <c r="I478" s="1" t="str">
        <f>$J$9</f>
        <v>kart. čierna</v>
      </c>
    </row>
    <row r="479" spans="1:9" ht="15" customHeight="1">
      <c r="A479" s="52" t="str">
        <f t="shared" si="45"/>
        <v>N/A</v>
      </c>
      <c r="B479" s="578"/>
      <c r="C479" s="578" t="str">
        <f>$J$17</f>
        <v>čierna mat</v>
      </c>
      <c r="D479" s="53" t="s">
        <v>156</v>
      </c>
      <c r="E479" s="579" t="e">
        <f>+VLOOKUP(A479,cennik!$A:$G,2,FALSE)</f>
        <v>#N/A</v>
      </c>
      <c r="F479" s="579" t="e">
        <f>+VLOOKUP(A479,cennik!A:B,2,FALSE)</f>
        <v>#N/A</v>
      </c>
      <c r="G479" s="578"/>
      <c r="H479" s="578"/>
      <c r="I479" s="578" t="str">
        <f>$J$17</f>
        <v>čierna mat</v>
      </c>
    </row>
    <row r="480" spans="1:9" ht="15" customHeight="1">
      <c r="A480" s="52" t="str">
        <f t="shared" si="45"/>
        <v>N/A</v>
      </c>
      <c r="B480" s="578"/>
      <c r="C480" s="578" t="str">
        <f>$J$16</f>
        <v>čierna lesk</v>
      </c>
      <c r="D480" s="53" t="s">
        <v>156</v>
      </c>
      <c r="E480" s="579" t="e">
        <f>+VLOOKUP(A480,cennik!$A:$G,2,FALSE)</f>
        <v>#N/A</v>
      </c>
      <c r="F480" s="579" t="e">
        <f>+VLOOKUP(A480,cennik!A:B,2,FALSE)</f>
        <v>#N/A</v>
      </c>
      <c r="G480" s="578"/>
      <c r="H480" s="578"/>
      <c r="I480" s="578" t="str">
        <f>$J$16</f>
        <v>čierna lesk</v>
      </c>
    </row>
    <row r="481" spans="1:9" ht="15" customHeight="1">
      <c r="A481" s="52" t="str">
        <f t="shared" si="45"/>
        <v>N/A</v>
      </c>
      <c r="B481" s="578"/>
      <c r="C481" s="578" t="str">
        <f>$J$18</f>
        <v>biela mat</v>
      </c>
      <c r="D481" s="53" t="s">
        <v>156</v>
      </c>
      <c r="E481" s="579" t="e">
        <f>+VLOOKUP(A481,cennik!$A:$G,2,FALSE)</f>
        <v>#N/A</v>
      </c>
      <c r="F481" s="579" t="e">
        <f>+VLOOKUP(A481,cennik!A:B,2,FALSE)</f>
        <v>#N/A</v>
      </c>
      <c r="G481" s="578"/>
      <c r="H481" s="578"/>
      <c r="I481" s="578" t="str">
        <f>$J$18</f>
        <v>biela mat</v>
      </c>
    </row>
    <row r="482" spans="1:9" ht="15" customHeight="1">
      <c r="A482" s="52" t="str">
        <f t="shared" si="37"/>
        <v>N/A</v>
      </c>
      <c r="B482" s="52"/>
      <c r="C482" s="1" t="str">
        <f>$J$15</f>
        <v>biela lesk</v>
      </c>
      <c r="D482" s="53" t="s">
        <v>156</v>
      </c>
      <c r="E482" s="52" t="e">
        <f>+VLOOKUP(A482,cennik!$A:$G,2,FALSE)</f>
        <v>#N/A</v>
      </c>
      <c r="F482" s="52" t="e">
        <f>+VLOOKUP(A482,cennik!A:B,2,FALSE)</f>
        <v>#N/A</v>
      </c>
      <c r="I482" s="1" t="str">
        <f>$J$15</f>
        <v>biela lesk</v>
      </c>
    </row>
    <row r="483" spans="1:9" ht="15" customHeight="1">
      <c r="A483" s="52">
        <f t="shared" si="37"/>
        <v>89013</v>
      </c>
      <c r="B483" s="181" t="s">
        <v>2705</v>
      </c>
      <c r="C483" s="1" t="str">
        <f>$J$4</f>
        <v xml:space="preserve">strieborná </v>
      </c>
      <c r="D483" s="53">
        <v>89013</v>
      </c>
      <c r="E483" s="52" t="str">
        <f>+VLOOKUP(A483,cennik!$A:$G,2,FALSE)</f>
        <v>SEVROLL spojovacia lišta T Decor 3m striebor</v>
      </c>
      <c r="F483" s="52" t="str">
        <f>+VLOOKUP(A483,cennik!A:B,2,FALSE)</f>
        <v>SEVROLL spojovacia lišta T Decor 3m striebor</v>
      </c>
      <c r="G483" s="1" t="e">
        <f>+VLOOKUP(A483,#REF!,4,FALSE)</f>
        <v>#REF!</v>
      </c>
      <c r="I483" s="1" t="str">
        <f>$J$4</f>
        <v xml:space="preserve">strieborná </v>
      </c>
    </row>
    <row r="484" spans="1:9" ht="15" customHeight="1">
      <c r="A484" s="52">
        <f t="shared" si="37"/>
        <v>89015</v>
      </c>
      <c r="B484" s="52"/>
      <c r="C484" s="1" t="str">
        <f>$J$6</f>
        <v>oliva</v>
      </c>
      <c r="D484" s="53">
        <v>89015</v>
      </c>
      <c r="E484" s="52" t="str">
        <f>+VLOOKUP(A484,cennik!$A:$G,2,FALSE)</f>
        <v>SEVROLL spojovacia lišta T Decor 3m oliva</v>
      </c>
      <c r="F484" s="52" t="str">
        <f>+VLOOKUP(A484,cennik!A:B,2,FALSE)</f>
        <v>SEVROLL spojovacia lišta T Decor 3m oliva</v>
      </c>
      <c r="G484" s="1" t="e">
        <f>+VLOOKUP(A484,#REF!,4,FALSE)</f>
        <v>#REF!</v>
      </c>
      <c r="I484" s="1" t="str">
        <f>$J$6</f>
        <v>oliva</v>
      </c>
    </row>
    <row r="485" spans="1:9" ht="15" customHeight="1">
      <c r="A485" s="52" t="str">
        <f>+D485</f>
        <v>N/A</v>
      </c>
      <c r="B485" s="52"/>
      <c r="C485" s="1" t="str">
        <f>$J$5</f>
        <v>zlatá</v>
      </c>
      <c r="D485" s="53" t="s">
        <v>156</v>
      </c>
      <c r="E485" s="52" t="e">
        <f>+VLOOKUP(A485,cennik!$A:$G,2,FALSE)</f>
        <v>#N/A</v>
      </c>
      <c r="F485" s="52" t="e">
        <f>+VLOOKUP(A485,cennik!A:B,2,FALSE)</f>
        <v>#N/A</v>
      </c>
      <c r="G485" s="1" t="e">
        <f>+VLOOKUP(A485,#REF!,4,FALSE)</f>
        <v>#REF!</v>
      </c>
      <c r="I485" s="1" t="str">
        <f>$J$5</f>
        <v>zlatá</v>
      </c>
    </row>
    <row r="486" spans="1:9" ht="15" customHeight="1">
      <c r="A486" s="52" t="str">
        <f t="shared" si="37"/>
        <v>N/A</v>
      </c>
      <c r="B486" s="52"/>
      <c r="C486" s="1" t="str">
        <f>$J$7</f>
        <v>oliva kartáčovaná</v>
      </c>
      <c r="D486" s="53" t="s">
        <v>156</v>
      </c>
      <c r="E486" s="52" t="e">
        <f>+VLOOKUP(A486,cennik!$A:$G,2,FALSE)</f>
        <v>#N/A</v>
      </c>
      <c r="F486" s="52" t="e">
        <f>+VLOOKUP(A486,cennik!A:B,2,FALSE)</f>
        <v>#N/A</v>
      </c>
      <c r="I486" s="1" t="str">
        <f>$J$7</f>
        <v>oliva kartáčovaná</v>
      </c>
    </row>
    <row r="487" spans="1:9" ht="15" customHeight="1">
      <c r="A487" s="52" t="str">
        <f>+D487</f>
        <v>N/A</v>
      </c>
      <c r="B487" s="578"/>
      <c r="C487" s="578" t="str">
        <f>$J$17</f>
        <v>čierna mat</v>
      </c>
      <c r="D487" s="53" t="s">
        <v>156</v>
      </c>
      <c r="E487" s="579" t="e">
        <f>+VLOOKUP(A487,cennik!$A:$G,2,FALSE)</f>
        <v>#N/A</v>
      </c>
      <c r="F487" s="579" t="e">
        <f>+VLOOKUP(A487,cennik!A:B,2,FALSE)</f>
        <v>#N/A</v>
      </c>
      <c r="G487" s="578"/>
      <c r="H487" s="578"/>
      <c r="I487" s="578" t="str">
        <f>$J$17</f>
        <v>čierna mat</v>
      </c>
    </row>
    <row r="488" spans="1:9" ht="15" customHeight="1">
      <c r="A488" s="52" t="str">
        <f>+D488</f>
        <v>N/A</v>
      </c>
      <c r="B488" s="578"/>
      <c r="C488" s="578" t="str">
        <f>$J$16</f>
        <v>čierna lesk</v>
      </c>
      <c r="D488" s="53" t="s">
        <v>156</v>
      </c>
      <c r="E488" s="579" t="e">
        <f>+VLOOKUP(A488,cennik!$A:$G,2,FALSE)</f>
        <v>#N/A</v>
      </c>
      <c r="F488" s="579" t="e">
        <f>+VLOOKUP(A488,cennik!A:B,2,FALSE)</f>
        <v>#N/A</v>
      </c>
      <c r="G488" s="578"/>
      <c r="H488" s="578"/>
      <c r="I488" s="578" t="str">
        <f>$J$16</f>
        <v>čierna lesk</v>
      </c>
    </row>
    <row r="489" spans="1:9" ht="15" customHeight="1">
      <c r="A489" s="52" t="str">
        <f t="shared" si="37"/>
        <v>N/A</v>
      </c>
      <c r="B489" s="52"/>
      <c r="C489" s="1" t="str">
        <f>$J$8</f>
        <v>kart. tm. oliva</v>
      </c>
      <c r="D489" s="53" t="s">
        <v>156</v>
      </c>
      <c r="E489" s="52" t="e">
        <f>+VLOOKUP(A489,cennik!$A:$G,2,FALSE)</f>
        <v>#N/A</v>
      </c>
      <c r="F489" s="52" t="e">
        <f>+VLOOKUP(A489,cennik!A:B,2,FALSE)</f>
        <v>#N/A</v>
      </c>
      <c r="I489" s="1" t="str">
        <f>$J$8</f>
        <v>kart. tm. oliva</v>
      </c>
    </row>
    <row r="490" spans="1:9" ht="15" customHeight="1">
      <c r="A490" s="52" t="str">
        <f>+D490</f>
        <v>N/A</v>
      </c>
      <c r="B490" s="578"/>
      <c r="C490" s="578" t="str">
        <f>$J$18</f>
        <v>biela mat</v>
      </c>
      <c r="D490" s="53" t="s">
        <v>156</v>
      </c>
      <c r="E490" s="579" t="e">
        <f>+VLOOKUP(A490,cennik!$A:$G,2,FALSE)</f>
        <v>#N/A</v>
      </c>
      <c r="F490" s="579" t="e">
        <f>+VLOOKUP(A490,cennik!A:B,2,FALSE)</f>
        <v>#N/A</v>
      </c>
      <c r="G490" s="578"/>
      <c r="H490" s="578"/>
      <c r="I490" s="578" t="str">
        <f>$J$18</f>
        <v>biela mat</v>
      </c>
    </row>
    <row r="491" spans="1:9" ht="15" customHeight="1">
      <c r="A491" s="52" t="str">
        <f t="shared" si="37"/>
        <v>N/A</v>
      </c>
      <c r="B491" s="52"/>
      <c r="C491" s="1" t="str">
        <f>$J$9</f>
        <v>kart. čierna</v>
      </c>
      <c r="D491" s="53" t="s">
        <v>156</v>
      </c>
      <c r="E491" s="52" t="e">
        <f>+VLOOKUP(A491,cennik!$A:$G,2,FALSE)</f>
        <v>#N/A</v>
      </c>
      <c r="F491" s="52" t="e">
        <f>+VLOOKUP(A491,cennik!A:B,2,FALSE)</f>
        <v>#N/A</v>
      </c>
      <c r="I491" s="1" t="str">
        <f>$J$9</f>
        <v>kart. čierna</v>
      </c>
    </row>
    <row r="492" spans="1:9" ht="15" customHeight="1">
      <c r="A492" s="52" t="str">
        <f>+D492</f>
        <v>N/A</v>
      </c>
      <c r="B492" s="52"/>
      <c r="C492" s="1" t="str">
        <f>$J$15</f>
        <v>biela lesk</v>
      </c>
      <c r="D492" s="53" t="s">
        <v>156</v>
      </c>
      <c r="E492" s="52" t="e">
        <f>+VLOOKUP(A492,cennik!$A:$G,2,FALSE)</f>
        <v>#N/A</v>
      </c>
      <c r="F492" s="52" t="e">
        <f>+VLOOKUP(A492,cennik!A:B,2,FALSE)</f>
        <v>#N/A</v>
      </c>
      <c r="I492" s="1" t="str">
        <f>$J$15</f>
        <v>biela lesk</v>
      </c>
    </row>
    <row r="493" spans="1:9" ht="15" customHeight="1">
      <c r="A493" s="52">
        <f t="shared" si="37"/>
        <v>89269</v>
      </c>
      <c r="B493" s="52" t="s">
        <v>60</v>
      </c>
      <c r="C493" s="1" t="str">
        <f>$J$4</f>
        <v xml:space="preserve">strieborná </v>
      </c>
      <c r="D493" s="53">
        <v>89269</v>
      </c>
      <c r="E493" s="52" t="str">
        <f>+VLOOKUP(A493,cennik!$A:$G,2,FALSE)</f>
        <v>SEVROLL profil "U" pre DTD 18mm 3m striebor</v>
      </c>
      <c r="F493" s="52" t="str">
        <f>+VLOOKUP(A493,cennik!A:B,2,FALSE)</f>
        <v>SEVROLL profil "U" pre DTD 18mm 3m striebor</v>
      </c>
      <c r="G493" s="1" t="e">
        <f>+VLOOKUP(A493,#REF!,4,FALSE)</f>
        <v>#REF!</v>
      </c>
      <c r="I493" s="1" t="str">
        <f>$J$4</f>
        <v xml:space="preserve">strieborná </v>
      </c>
    </row>
    <row r="494" spans="1:9" ht="15" customHeight="1">
      <c r="A494" s="52">
        <f t="shared" si="37"/>
        <v>89268</v>
      </c>
      <c r="B494" s="52"/>
      <c r="C494" s="1" t="str">
        <f>$J$6</f>
        <v>oliva</v>
      </c>
      <c r="D494" s="53">
        <v>89268</v>
      </c>
      <c r="E494" s="52" t="str">
        <f>+VLOOKUP(A494,cennik!$A:$G,2,FALSE)</f>
        <v>SEVROLL-161 U PROFna DTD 18mm-3m, OLIVA</v>
      </c>
      <c r="F494" s="52" t="str">
        <f>+VLOOKUP(A494,cennik!A:B,2,FALSE)</f>
        <v>SEVROLL-161 U PROFna DTD 18mm-3m, OLIVA</v>
      </c>
      <c r="G494" s="1" t="e">
        <f>+VLOOKUP(A494,#REF!,4,FALSE)</f>
        <v>#REF!</v>
      </c>
      <c r="I494" s="1" t="str">
        <f>$J$6</f>
        <v>oliva</v>
      </c>
    </row>
    <row r="495" spans="1:9" ht="15" customHeight="1">
      <c r="A495" s="52">
        <f t="shared" si="37"/>
        <v>89267</v>
      </c>
      <c r="B495" s="52"/>
      <c r="C495" s="1" t="str">
        <f>$J$5</f>
        <v>zlatá</v>
      </c>
      <c r="D495" s="53">
        <v>89267</v>
      </c>
      <c r="E495" s="52" t="str">
        <f>+VLOOKUP(A495,cennik!$A:$G,2,FALSE)</f>
        <v>SEVROLL-161 U PROFna DTD 18mm-3m, zlatá</v>
      </c>
      <c r="F495" s="52" t="str">
        <f>+VLOOKUP(A495,cennik!A:B,2,FALSE)</f>
        <v>SEVROLL-161 U PROFna DTD 18mm-3m, zlatá</v>
      </c>
      <c r="G495" s="1" t="e">
        <f>+VLOOKUP(A495,#REF!,4,FALSE)</f>
        <v>#REF!</v>
      </c>
      <c r="I495" s="1" t="str">
        <f>$J$5</f>
        <v>zlatá</v>
      </c>
    </row>
    <row r="496" spans="1:9" ht="15" customHeight="1">
      <c r="A496" s="52">
        <f t="shared" si="37"/>
        <v>223341</v>
      </c>
      <c r="B496" s="52"/>
      <c r="C496" s="1" t="str">
        <f>$J$7</f>
        <v>oliva kartáčovaná</v>
      </c>
      <c r="D496" s="53">
        <v>223341</v>
      </c>
      <c r="E496" s="52" t="str">
        <f>+VLOOKUP(A496,cennik!$A:$G,2,FALSE)</f>
        <v>SEVROLL profil "U" 18mm 3m oliva kartáč</v>
      </c>
      <c r="F496" s="52" t="str">
        <f>+VLOOKUP(A496,cennik!A:B,2,FALSE)</f>
        <v>SEVROLL profil "U" 18mm 3m oliva kartáč</v>
      </c>
      <c r="G496" s="1" t="e">
        <f>+VLOOKUP(A496,#REF!,4,FALSE)</f>
        <v>#REF!</v>
      </c>
      <c r="I496" s="1" t="str">
        <f>$J$7</f>
        <v>oliva kartáčovaná</v>
      </c>
    </row>
    <row r="497" spans="1:9" ht="15" customHeight="1">
      <c r="A497" s="52">
        <f t="shared" si="37"/>
        <v>223342</v>
      </c>
      <c r="B497" s="52"/>
      <c r="C497" s="1" t="str">
        <f>$J$8</f>
        <v>kart. tm. oliva</v>
      </c>
      <c r="D497" s="53">
        <v>223342</v>
      </c>
      <c r="E497" s="52" t="str">
        <f>+VLOOKUP(A497,cennik!$A:$G,2,FALSE)</f>
        <v>SEVROLL profil "U" 18mm 3m oliva tm.kartáč</v>
      </c>
      <c r="F497" s="52" t="str">
        <f>+VLOOKUP(A497,cennik!A:B,2,FALSE)</f>
        <v>SEVROLL profil "U" 18mm 3m oliva tm.kartáč</v>
      </c>
      <c r="I497" s="1" t="str">
        <f>$J$8</f>
        <v>kart. tm. oliva</v>
      </c>
    </row>
    <row r="498" spans="1:9" ht="15" customHeight="1">
      <c r="A498" s="52">
        <f t="shared" si="37"/>
        <v>223343</v>
      </c>
      <c r="B498" s="52"/>
      <c r="C498" s="1" t="str">
        <f>$J$9</f>
        <v>kart. čierna</v>
      </c>
      <c r="D498" s="53">
        <v>223343</v>
      </c>
      <c r="E498" s="52" t="str">
        <f>+VLOOKUP(A498,cennik!$A:$G,2,FALSE)</f>
        <v>SEVROLL profil "U" 18mm 3m čierna kartáč.</v>
      </c>
      <c r="F498" s="52" t="str">
        <f>+VLOOKUP(A498,cennik!A:B,2,FALSE)</f>
        <v>SEVROLL profil "U" 18mm 3m čierna kartáč.</v>
      </c>
      <c r="I498" s="1" t="str">
        <f>$J$9</f>
        <v>kart. čierna</v>
      </c>
    </row>
    <row r="499" spans="1:9" ht="15" customHeight="1">
      <c r="A499" s="1">
        <v>405364</v>
      </c>
      <c r="C499" s="1" t="str">
        <f>$J$16</f>
        <v>čierna lesk</v>
      </c>
      <c r="D499" s="2">
        <v>405364</v>
      </c>
      <c r="E499" s="52" t="str">
        <f>+VLOOKUP(A499,cennik!$A:$G,2,FALSE)</f>
        <v>SEVROLL profil "U" pro lamino 18mm 3m čierna lesk</v>
      </c>
      <c r="F499" s="52" t="str">
        <f>+VLOOKUP(A499,cennik!A:B,2,FALSE)</f>
        <v>SEVROLL profil "U" pro lamino 18mm 3m čierna lesk</v>
      </c>
      <c r="I499" s="1" t="str">
        <f>$J$16</f>
        <v>čierna lesk</v>
      </c>
    </row>
    <row r="500" spans="1:9" ht="15" customHeight="1">
      <c r="A500" s="1">
        <v>405364</v>
      </c>
      <c r="C500" s="1" t="str">
        <f>$J$17</f>
        <v>čierna mat</v>
      </c>
      <c r="D500" s="2">
        <v>405364</v>
      </c>
      <c r="E500" s="52" t="str">
        <f>+VLOOKUP(A500,cennik!$A:$G,2,FALSE)</f>
        <v>SEVROLL profil "U" pro lamino 18mm 3m čierna lesk</v>
      </c>
      <c r="F500" s="52" t="str">
        <f>+VLOOKUP(A500,cennik!A:B,2,FALSE)</f>
        <v>SEVROLL profil "U" pro lamino 18mm 3m čierna lesk</v>
      </c>
      <c r="I500" s="1" t="str">
        <f>$J$16</f>
        <v>čierna lesk</v>
      </c>
    </row>
    <row r="501" spans="1:9" ht="15" customHeight="1">
      <c r="A501" s="577">
        <v>406464</v>
      </c>
      <c r="B501" s="578"/>
      <c r="C501" s="578" t="str">
        <f>$J$18</f>
        <v>biela mat</v>
      </c>
      <c r="D501" s="577">
        <v>406464</v>
      </c>
      <c r="E501" s="579" t="str">
        <f>+VLOOKUP(A501,cennik!$A:$G,2,FALSE)</f>
        <v/>
      </c>
      <c r="F501" s="579" t="str">
        <f>+VLOOKUP(A501,cennik!A:B,2,FALSE)</f>
        <v/>
      </c>
      <c r="G501" s="578"/>
      <c r="H501" s="578"/>
      <c r="I501" s="578" t="str">
        <f>$J$18</f>
        <v>biela mat</v>
      </c>
    </row>
    <row r="502" spans="1:9" ht="15" customHeight="1">
      <c r="A502" s="52">
        <f>+D502</f>
        <v>360760</v>
      </c>
      <c r="B502" s="52"/>
      <c r="C502" s="1" t="str">
        <f>$J$15</f>
        <v>biela lesk</v>
      </c>
      <c r="D502" s="53">
        <v>360760</v>
      </c>
      <c r="E502" s="52" t="str">
        <f>+VLOOKUP(A502,cennik!$A:$G,2,FALSE)</f>
        <v/>
      </c>
      <c r="F502" s="52" t="str">
        <f>+VLOOKUP(A502,cennik!A:B,2,FALSE)</f>
        <v/>
      </c>
      <c r="I502" s="1" t="str">
        <f>$J$15</f>
        <v>biela lesk</v>
      </c>
    </row>
    <row r="503" spans="1:9" ht="15" customHeight="1">
      <c r="A503" s="52">
        <f t="shared" si="37"/>
        <v>89016</v>
      </c>
      <c r="B503" s="181" t="s">
        <v>2706</v>
      </c>
      <c r="C503" s="1" t="str">
        <f>$J$4</f>
        <v xml:space="preserve">strieborná </v>
      </c>
      <c r="D503" s="53">
        <v>89016</v>
      </c>
      <c r="E503" s="52" t="str">
        <f>+VLOOKUP(A503,cennik!$A:$G,2,FALSE)</f>
        <v>SEVROLL profil "U" Decor 18mm 3m strieborná</v>
      </c>
      <c r="F503" s="52" t="str">
        <f>+VLOOKUP(A503,cennik!A:B,2,FALSE)</f>
        <v>SEVROLL profil "U" Decor 18mm 3m strieborná</v>
      </c>
      <c r="G503" s="1" t="e">
        <f>+VLOOKUP(A503,#REF!,4,FALSE)</f>
        <v>#REF!</v>
      </c>
      <c r="I503" s="1" t="str">
        <f>$J$4</f>
        <v xml:space="preserve">strieborná </v>
      </c>
    </row>
    <row r="504" spans="1:9" ht="15" customHeight="1">
      <c r="A504" s="52">
        <f t="shared" si="37"/>
        <v>89018</v>
      </c>
      <c r="B504" s="52"/>
      <c r="C504" s="1" t="str">
        <f>$J$6</f>
        <v>oliva</v>
      </c>
      <c r="D504" s="53">
        <v>89018</v>
      </c>
      <c r="E504" s="52" t="str">
        <f>+VLOOKUP(A504,cennik!$A:$G,2,FALSE)</f>
        <v>SEVROLL profil "U" Decor 18mm 3m oliva</v>
      </c>
      <c r="F504" s="52" t="str">
        <f>+VLOOKUP(A504,cennik!A:B,2,FALSE)</f>
        <v>SEVROLL profil "U" Decor 18mm 3m oliva</v>
      </c>
      <c r="G504" s="1" t="e">
        <f>+VLOOKUP(A504,#REF!,4,FALSE)</f>
        <v>#REF!</v>
      </c>
      <c r="I504" s="1" t="str">
        <f>$J$6</f>
        <v>oliva</v>
      </c>
    </row>
    <row r="505" spans="1:9" ht="15" customHeight="1">
      <c r="A505" s="52" t="str">
        <f t="shared" si="37"/>
        <v>N/A</v>
      </c>
      <c r="B505" s="52"/>
      <c r="C505" s="1" t="str">
        <f>$J$7</f>
        <v>oliva kartáčovaná</v>
      </c>
      <c r="D505" s="53" t="s">
        <v>156</v>
      </c>
      <c r="E505" s="52" t="e">
        <f>+VLOOKUP(A505,cennik!$A:$G,2,FALSE)</f>
        <v>#N/A</v>
      </c>
      <c r="F505" s="52" t="e">
        <f>+VLOOKUP(A505,cennik!A:B,2,FALSE)</f>
        <v>#N/A</v>
      </c>
      <c r="G505" s="1" t="e">
        <f>+VLOOKUP(A505,#REF!,4,FALSE)</f>
        <v>#REF!</v>
      </c>
      <c r="I505" s="1" t="str">
        <f>$J$7</f>
        <v>oliva kartáčovaná</v>
      </c>
    </row>
    <row r="506" spans="1:9" ht="15" customHeight="1">
      <c r="A506" s="52" t="str">
        <f>+D506</f>
        <v>N/A</v>
      </c>
      <c r="B506" s="52"/>
      <c r="C506" s="1" t="str">
        <f>$J$8</f>
        <v>kart. tm. oliva</v>
      </c>
      <c r="D506" s="53" t="s">
        <v>156</v>
      </c>
      <c r="E506" s="52" t="e">
        <f>+VLOOKUP(A506,cennik!$A:$G,2,FALSE)</f>
        <v>#N/A</v>
      </c>
      <c r="F506" s="52" t="e">
        <f>+VLOOKUP(A506,cennik!A:B,2,FALSE)</f>
        <v>#N/A</v>
      </c>
      <c r="I506" s="1" t="str">
        <f>$J$8</f>
        <v>kart. tm. oliva</v>
      </c>
    </row>
    <row r="507" spans="1:9" ht="15" customHeight="1">
      <c r="A507" s="52" t="str">
        <f>+D507</f>
        <v>N/A</v>
      </c>
      <c r="B507" s="52"/>
      <c r="C507" s="1" t="str">
        <f>$J$9</f>
        <v>kart. čierna</v>
      </c>
      <c r="D507" s="53" t="s">
        <v>156</v>
      </c>
      <c r="E507" s="52" t="e">
        <f>+VLOOKUP(A507,cennik!$A:$G,2,FALSE)</f>
        <v>#N/A</v>
      </c>
      <c r="F507" s="52" t="e">
        <f>+VLOOKUP(A507,cennik!A:B,2,FALSE)</f>
        <v>#N/A</v>
      </c>
      <c r="I507" s="1" t="str">
        <f>$J$9</f>
        <v>kart. čierna</v>
      </c>
    </row>
    <row r="508" spans="1:9" ht="15" customHeight="1">
      <c r="A508" s="52" t="str">
        <f t="shared" ref="A508" si="46">+D508</f>
        <v>N/A</v>
      </c>
      <c r="B508" s="52"/>
      <c r="C508" s="1" t="str">
        <f>$J$17</f>
        <v>čierna mat</v>
      </c>
      <c r="D508" s="53" t="s">
        <v>156</v>
      </c>
      <c r="E508" s="52" t="e">
        <f>+VLOOKUP(A508,cennik!$A:$G,2,FALSE)</f>
        <v>#N/A</v>
      </c>
      <c r="F508" s="52" t="e">
        <f>+VLOOKUP(A508,cennik!A:B,2,FALSE)</f>
        <v>#N/A</v>
      </c>
      <c r="G508" s="1" t="e">
        <f>+VLOOKUP(A508,#REF!,4,FALSE)</f>
        <v>#REF!</v>
      </c>
      <c r="I508" s="1" t="str">
        <f>$J$17</f>
        <v>čierna mat</v>
      </c>
    </row>
    <row r="509" spans="1:9" ht="15" customHeight="1">
      <c r="A509" s="52" t="str">
        <f t="shared" ref="A509" si="47">+D509</f>
        <v>N/A</v>
      </c>
      <c r="B509" s="52"/>
      <c r="C509" s="1" t="str">
        <f>$J$16</f>
        <v>čierna lesk</v>
      </c>
      <c r="D509" s="53" t="s">
        <v>156</v>
      </c>
      <c r="E509" s="52" t="e">
        <f>+VLOOKUP(A509,cennik!$A:$G,2,FALSE)</f>
        <v>#N/A</v>
      </c>
      <c r="F509" s="52" t="e">
        <f>+VLOOKUP(A509,cennik!A:B,2,FALSE)</f>
        <v>#N/A</v>
      </c>
      <c r="G509" s="1" t="e">
        <f>+VLOOKUP(A509,#REF!,4,FALSE)</f>
        <v>#REF!</v>
      </c>
      <c r="I509" s="1" t="str">
        <f>$J$16</f>
        <v>čierna lesk</v>
      </c>
    </row>
    <row r="510" spans="1:9" ht="15" customHeight="1">
      <c r="A510" s="52" t="str">
        <f t="shared" si="37"/>
        <v>N/A</v>
      </c>
      <c r="B510" s="52"/>
      <c r="C510" s="1" t="str">
        <f>$J$5</f>
        <v>zlatá</v>
      </c>
      <c r="D510" s="53" t="s">
        <v>156</v>
      </c>
      <c r="E510" s="52" t="e">
        <f>+VLOOKUP(A510,cennik!$A:$G,2,FALSE)</f>
        <v>#N/A</v>
      </c>
      <c r="F510" s="52" t="e">
        <f>+VLOOKUP(A510,cennik!A:B,2,FALSE)</f>
        <v>#N/A</v>
      </c>
      <c r="G510" s="1" t="e">
        <f>+VLOOKUP(A510,#REF!,4,FALSE)</f>
        <v>#REF!</v>
      </c>
      <c r="I510" s="1" t="str">
        <f>$J$5</f>
        <v>zlatá</v>
      </c>
    </row>
    <row r="511" spans="1:9" s="578" customFormat="1" ht="15" customHeight="1">
      <c r="A511" s="52" t="str">
        <f>+D511</f>
        <v>N/A</v>
      </c>
      <c r="C511" s="578" t="str">
        <f>$J$18</f>
        <v>biela mat</v>
      </c>
      <c r="D511" s="53" t="s">
        <v>156</v>
      </c>
      <c r="E511" s="579" t="e">
        <f>+VLOOKUP(A511,cennik!$A:$G,2,FALSE)</f>
        <v>#N/A</v>
      </c>
      <c r="F511" s="579" t="e">
        <f>+VLOOKUP(A511,cennik!A:B,2,FALSE)</f>
        <v>#N/A</v>
      </c>
      <c r="I511" s="578" t="str">
        <f>$J$18</f>
        <v>biela mat</v>
      </c>
    </row>
    <row r="512" spans="1:9" s="578" customFormat="1" ht="15" customHeight="1">
      <c r="A512" s="52" t="str">
        <f>+D512</f>
        <v>N/A</v>
      </c>
      <c r="B512" s="52"/>
      <c r="C512" s="1" t="str">
        <f>$J$15</f>
        <v>biela lesk</v>
      </c>
      <c r="D512" s="53" t="s">
        <v>156</v>
      </c>
      <c r="E512" s="52" t="e">
        <f>+VLOOKUP(A512,cennik!$A:$G,2,FALSE)</f>
        <v>#N/A</v>
      </c>
      <c r="F512" s="52" t="e">
        <f>+VLOOKUP(A512,cennik!A:B,2,FALSE)</f>
        <v>#N/A</v>
      </c>
      <c r="G512" s="1"/>
      <c r="H512" s="1"/>
      <c r="I512" s="1" t="str">
        <f>$J$15</f>
        <v>biela lesk</v>
      </c>
    </row>
    <row r="513" spans="1:9" s="578" customFormat="1" ht="15" customHeight="1">
      <c r="A513" s="579">
        <f t="shared" si="37"/>
        <v>89132</v>
      </c>
      <c r="B513" s="579" t="s">
        <v>63</v>
      </c>
      <c r="C513" s="578" t="str">
        <f>$J$5</f>
        <v>zlatá</v>
      </c>
      <c r="D513" s="580">
        <v>89132</v>
      </c>
      <c r="E513" s="579" t="str">
        <f>+VLOOKUP(A513,cennik!$A:$G,2,FALSE)</f>
        <v>SEVROLL-182 UHOLNÍK 17*11 ZLATÁ 1,7M</v>
      </c>
      <c r="F513" s="579" t="str">
        <f>+VLOOKUP(A513,cennik!A:B,2,FALSE)</f>
        <v>SEVROLL-182 UHOLNÍK 17*11 ZLATÁ 1,7M</v>
      </c>
      <c r="G513" s="578" t="e">
        <f>+VLOOKUP(A513,#REF!,4,FALSE)</f>
        <v>#REF!</v>
      </c>
      <c r="I513" s="578" t="str">
        <f>$J$5</f>
        <v>zlatá</v>
      </c>
    </row>
    <row r="514" spans="1:9" s="578" customFormat="1" ht="15" customHeight="1">
      <c r="A514" s="579">
        <f t="shared" si="37"/>
        <v>89133</v>
      </c>
      <c r="B514" s="579"/>
      <c r="C514" s="578" t="str">
        <f>$J$6</f>
        <v>oliva</v>
      </c>
      <c r="D514" s="580">
        <v>89133</v>
      </c>
      <c r="E514" s="579" t="str">
        <f>+VLOOKUP(A514,cennik!$A:$G,2,FALSE)</f>
        <v>SEVROLL-182 UHOLNÍK 17*11 OLIVOVÁ 1,7M</v>
      </c>
      <c r="F514" s="579" t="str">
        <f>+VLOOKUP(A514,cennik!A:B,2,FALSE)</f>
        <v>SEVROLL-182 UHOLNÍK 17*11 OLIVOVÁ 1,7M</v>
      </c>
      <c r="G514" s="578" t="e">
        <f>+VLOOKUP(A514,#REF!,4,FALSE)</f>
        <v>#REF!</v>
      </c>
      <c r="I514" s="578" t="str">
        <f>$J$6</f>
        <v>oliva</v>
      </c>
    </row>
    <row r="515" spans="1:9" s="578" customFormat="1" ht="15" customHeight="1">
      <c r="A515" s="579">
        <f t="shared" si="37"/>
        <v>89134</v>
      </c>
      <c r="B515" s="579"/>
      <c r="C515" s="578" t="str">
        <f>$J$4</f>
        <v xml:space="preserve">strieborná </v>
      </c>
      <c r="D515" s="580">
        <v>89134</v>
      </c>
      <c r="E515" s="579" t="str">
        <f>+VLOOKUP(A515,cennik!$A:$G,2,FALSE)</f>
        <v>SEVROLL-182 UHOLNÍK 17*11 STRIEBOR. 1,7M</v>
      </c>
      <c r="F515" s="579" t="str">
        <f>+VLOOKUP(A515,cennik!A:B,2,FALSE)</f>
        <v>SEVROLL-182 UHOLNÍK 17*11 STRIEBOR. 1,7M</v>
      </c>
      <c r="G515" s="578" t="e">
        <f>+VLOOKUP(A515,#REF!,4,FALSE)</f>
        <v>#REF!</v>
      </c>
      <c r="I515" s="578" t="str">
        <f>$J$4</f>
        <v xml:space="preserve">strieborná </v>
      </c>
    </row>
    <row r="516" spans="1:9" s="578" customFormat="1" ht="15" customHeight="1">
      <c r="A516" s="579" t="str">
        <f>+D516</f>
        <v>N/A</v>
      </c>
      <c r="B516" s="579"/>
      <c r="C516" s="578" t="str">
        <f>$J$7</f>
        <v>oliva kartáčovaná</v>
      </c>
      <c r="D516" s="580" t="s">
        <v>156</v>
      </c>
      <c r="E516" s="579" t="e">
        <f>+VLOOKUP(A516,cennik!$A:$G,2,FALSE)</f>
        <v>#N/A</v>
      </c>
      <c r="F516" s="579" t="e">
        <f>+VLOOKUP(A516,cennik!A:B,2,FALSE)</f>
        <v>#N/A</v>
      </c>
      <c r="G516" s="578" t="e">
        <f>+VLOOKUP(A516,#REF!,4,FALSE)</f>
        <v>#REF!</v>
      </c>
      <c r="I516" s="578" t="str">
        <f>$J$7</f>
        <v>oliva kartáčovaná</v>
      </c>
    </row>
    <row r="517" spans="1:9" s="578" customFormat="1" ht="15" customHeight="1">
      <c r="A517" s="579" t="str">
        <f>+D517</f>
        <v>N/A</v>
      </c>
      <c r="B517" s="579"/>
      <c r="C517" s="578" t="str">
        <f>$J$8</f>
        <v>kart. tm. oliva</v>
      </c>
      <c r="D517" s="580" t="s">
        <v>156</v>
      </c>
      <c r="E517" s="579" t="e">
        <f>+VLOOKUP(A517,cennik!$A:$G,2,FALSE)</f>
        <v>#N/A</v>
      </c>
      <c r="F517" s="579" t="e">
        <f>+VLOOKUP(A517,cennik!A:B,2,FALSE)</f>
        <v>#N/A</v>
      </c>
      <c r="I517" s="578" t="str">
        <f>$J$8</f>
        <v>kart. tm. oliva</v>
      </c>
    </row>
    <row r="518" spans="1:9" s="578" customFormat="1" ht="15" customHeight="1">
      <c r="A518" s="1">
        <v>405365</v>
      </c>
      <c r="B518" s="1"/>
      <c r="C518" s="1" t="str">
        <f>$J$16</f>
        <v>čierna lesk</v>
      </c>
      <c r="D518" s="2">
        <v>405365</v>
      </c>
      <c r="E518" s="52" t="str">
        <f>+VLOOKUP(A518,cennik!$A:$G,2,FALSE)</f>
        <v>SEVROLL uholník 17x11mm 1,7m čierna lesk</v>
      </c>
      <c r="F518" s="52" t="str">
        <f>+VLOOKUP(A518,cennik!A:B,2,FALSE)</f>
        <v>SEVROLL uholník 17x11mm 1,7m čierna lesk</v>
      </c>
      <c r="G518" s="1"/>
      <c r="H518" s="1"/>
      <c r="I518" s="1" t="str">
        <f>$J$16</f>
        <v>čierna lesk</v>
      </c>
    </row>
    <row r="519" spans="1:9" s="578" customFormat="1" ht="15" customHeight="1">
      <c r="A519" s="1">
        <v>422014</v>
      </c>
      <c r="B519" s="1"/>
      <c r="C519" s="1" t="str">
        <f>$J$17</f>
        <v>čierna mat</v>
      </c>
      <c r="D519" s="1">
        <v>422014</v>
      </c>
      <c r="E519" s="52" t="str">
        <f>+VLOOKUP(A519,cennik!$A:$G,2,FALSE)</f>
        <v>SEVROLL uholník 17x11mm 1,7m čierna mat</v>
      </c>
      <c r="F519" s="52" t="str">
        <f>+VLOOKUP(A519,cennik!A:B,2,FALSE)</f>
        <v>SEVROLL uholník 17x11mm 1,7m čierna mat</v>
      </c>
      <c r="G519" s="1"/>
      <c r="H519" s="1"/>
      <c r="I519" s="1" t="str">
        <f>$J$17</f>
        <v>čierna mat</v>
      </c>
    </row>
    <row r="520" spans="1:9" ht="15" customHeight="1">
      <c r="A520" s="579" t="str">
        <f>+D520</f>
        <v>N/A</v>
      </c>
      <c r="B520" s="579"/>
      <c r="C520" s="578" t="str">
        <f>$J$9</f>
        <v>kart. čierna</v>
      </c>
      <c r="D520" s="580" t="s">
        <v>156</v>
      </c>
      <c r="E520" s="579" t="e">
        <f>+VLOOKUP(A520,cennik!$A:$G,2,FALSE)</f>
        <v>#N/A</v>
      </c>
      <c r="F520" s="579" t="e">
        <f>+VLOOKUP(A520,cennik!A:B,2,FALSE)</f>
        <v>#N/A</v>
      </c>
      <c r="G520" s="578"/>
      <c r="H520" s="578"/>
      <c r="I520" s="578" t="str">
        <f>$J$9</f>
        <v>kart. čierna</v>
      </c>
    </row>
    <row r="521" spans="1:9" s="578" customFormat="1" ht="15" customHeight="1">
      <c r="A521" s="577">
        <v>394825</v>
      </c>
      <c r="C521" s="578" t="str">
        <f>$J$18</f>
        <v>biela mat</v>
      </c>
      <c r="D521" s="577">
        <v>394825</v>
      </c>
      <c r="E521" s="579" t="str">
        <f>+VLOOKUP(A521,cennik!$A:$G,2,FALSE)</f>
        <v>SEVROLL uholník 17x11mm 1,7m biela mat</v>
      </c>
      <c r="F521" s="579" t="str">
        <f>+VLOOKUP(A521,cennik!A:B,2,FALSE)</f>
        <v>SEVROLL uholník 17x11mm 1,7m biela mat</v>
      </c>
      <c r="I521" s="578" t="str">
        <f>$J$18</f>
        <v>biela mat</v>
      </c>
    </row>
    <row r="522" spans="1:9" s="578" customFormat="1" ht="15" customHeight="1">
      <c r="A522" s="579">
        <f t="shared" si="37"/>
        <v>276735</v>
      </c>
      <c r="B522" s="579"/>
      <c r="C522" s="578" t="str">
        <f>$J$15</f>
        <v>biela lesk</v>
      </c>
      <c r="D522" s="580">
        <v>276735</v>
      </c>
      <c r="E522" s="579" t="str">
        <f>+VLOOKUP(A522,cennik!$A:$G,2,FALSE)</f>
        <v>SEVROLL uholník 17x11mm 1,7m biela lesk</v>
      </c>
      <c r="F522" s="579" t="str">
        <f>+VLOOKUP(A522,cennik!A:B,2,FALSE)</f>
        <v>SEVROLL uholník 17x11mm 1,7m biela lesk</v>
      </c>
      <c r="G522" s="578" t="e">
        <f>+VLOOKUP(A522,#REF!,4,FALSE)</f>
        <v>#REF!</v>
      </c>
      <c r="I522" s="578" t="str">
        <f>$J$15</f>
        <v>biela lesk</v>
      </c>
    </row>
    <row r="523" spans="1:9" s="578" customFormat="1" ht="15" customHeight="1">
      <c r="A523" s="579">
        <f t="shared" si="37"/>
        <v>89135</v>
      </c>
      <c r="B523" s="579" t="s">
        <v>64</v>
      </c>
      <c r="C523" s="578" t="str">
        <f>$J$5</f>
        <v>zlatá</v>
      </c>
      <c r="D523" s="580">
        <v>89135</v>
      </c>
      <c r="E523" s="579" t="str">
        <f>+VLOOKUP(A523,cennik!$A:$G,2,FALSE)</f>
        <v>SEVROLL-183 UHOLNÍK 17*11 ZLATÁ 2,35M</v>
      </c>
      <c r="F523" s="579" t="str">
        <f>+VLOOKUP(A523,cennik!A:B,2,FALSE)</f>
        <v>SEVROLL-183 UHOLNÍK 17*11 ZLATÁ 2,35M</v>
      </c>
      <c r="G523" s="578" t="e">
        <f>+VLOOKUP(A523,#REF!,4,FALSE)</f>
        <v>#REF!</v>
      </c>
      <c r="I523" s="578" t="str">
        <f>$J$5</f>
        <v>zlatá</v>
      </c>
    </row>
    <row r="524" spans="1:9" s="578" customFormat="1" ht="15" customHeight="1">
      <c r="A524" s="579">
        <f t="shared" si="37"/>
        <v>89136</v>
      </c>
      <c r="B524" s="579"/>
      <c r="C524" s="578" t="str">
        <f>$J$6</f>
        <v>oliva</v>
      </c>
      <c r="D524" s="580">
        <v>89136</v>
      </c>
      <c r="E524" s="579" t="str">
        <f>+VLOOKUP(A524,cennik!$A:$G,2,FALSE)</f>
        <v>SEVROLL-183 UHOLNÍK 17*11 OLIVOVÁ 2,35M</v>
      </c>
      <c r="F524" s="579" t="str">
        <f>+VLOOKUP(A524,cennik!A:B,2,FALSE)</f>
        <v>SEVROLL-183 UHOLNÍK 17*11 OLIVOVÁ 2,35M</v>
      </c>
      <c r="G524" s="578" t="e">
        <f>+VLOOKUP(A524,#REF!,4,FALSE)</f>
        <v>#REF!</v>
      </c>
      <c r="I524" s="578" t="str">
        <f>$J$6</f>
        <v>oliva</v>
      </c>
    </row>
    <row r="525" spans="1:9" s="578" customFormat="1" ht="15" customHeight="1">
      <c r="A525" s="579" t="str">
        <f t="shared" si="37"/>
        <v>N/A</v>
      </c>
      <c r="B525" s="579"/>
      <c r="C525" s="578" t="str">
        <f>$J$7</f>
        <v>oliva kartáčovaná</v>
      </c>
      <c r="D525" s="580" t="s">
        <v>156</v>
      </c>
      <c r="E525" s="579" t="e">
        <f>+VLOOKUP(A525,cennik!$A:$G,2,FALSE)</f>
        <v>#N/A</v>
      </c>
      <c r="F525" s="579" t="e">
        <f>+VLOOKUP(A525,cennik!A:B,2,FALSE)</f>
        <v>#N/A</v>
      </c>
      <c r="G525" s="578" t="e">
        <f>+VLOOKUP(A525,#REF!,4,FALSE)</f>
        <v>#REF!</v>
      </c>
      <c r="I525" s="578" t="str">
        <f>$J$7</f>
        <v>oliva kartáčovaná</v>
      </c>
    </row>
    <row r="526" spans="1:9" s="578" customFormat="1" ht="15" customHeight="1">
      <c r="A526" s="579" t="str">
        <f>+D526</f>
        <v>N/A</v>
      </c>
      <c r="B526" s="579"/>
      <c r="C526" s="578" t="str">
        <f>$J$8</f>
        <v>kart. tm. oliva</v>
      </c>
      <c r="D526" s="580" t="s">
        <v>156</v>
      </c>
      <c r="E526" s="579" t="e">
        <f>+VLOOKUP(A526,cennik!$A:$G,2,FALSE)</f>
        <v>#N/A</v>
      </c>
      <c r="F526" s="579" t="e">
        <f>+VLOOKUP(A526,cennik!A:B,2,FALSE)</f>
        <v>#N/A</v>
      </c>
      <c r="I526" s="578" t="str">
        <f>$J$8</f>
        <v>kart. tm. oliva</v>
      </c>
    </row>
    <row r="527" spans="1:9" s="578" customFormat="1" ht="15" customHeight="1">
      <c r="A527" s="1">
        <v>405366</v>
      </c>
      <c r="B527" s="1"/>
      <c r="C527" s="578" t="str">
        <f>$J$16</f>
        <v>čierna lesk</v>
      </c>
      <c r="D527" s="2">
        <v>405366</v>
      </c>
      <c r="E527" s="579" t="str">
        <f>+VLOOKUP(A527,cennik!$A:$G,2,FALSE)</f>
        <v>SEVROLL uholník 17x11mm 2,35m čierna lesk</v>
      </c>
      <c r="F527" s="579" t="str">
        <f>+VLOOKUP(A527,cennik!A:B,2,FALSE)</f>
        <v>SEVROLL uholník 17x11mm 2,35m čierna lesk</v>
      </c>
      <c r="G527" s="1"/>
      <c r="H527" s="1"/>
      <c r="I527" s="578" t="str">
        <f>$J$16</f>
        <v>čierna lesk</v>
      </c>
    </row>
    <row r="528" spans="1:9" s="578" customFormat="1" ht="15" customHeight="1">
      <c r="A528" s="1">
        <v>409682</v>
      </c>
      <c r="B528" s="1"/>
      <c r="C528" s="578" t="str">
        <f>$J$17</f>
        <v>čierna mat</v>
      </c>
      <c r="D528" s="1">
        <v>409682</v>
      </c>
      <c r="E528" s="579" t="str">
        <f>+VLOOKUP(A528,cennik!$A:$G,2,FALSE)</f>
        <v>SEVROLL uholník 17x11mm 2,35m čierna mat</v>
      </c>
      <c r="F528" s="579" t="str">
        <f>+VLOOKUP(A528,cennik!A:B,2,FALSE)</f>
        <v>SEVROLL uholník 17x11mm 2,35m čierna mat</v>
      </c>
      <c r="G528" s="1"/>
      <c r="H528" s="1"/>
      <c r="I528" s="578" t="str">
        <f>$J$17</f>
        <v>čierna mat</v>
      </c>
    </row>
    <row r="529" spans="1:9" s="578" customFormat="1" ht="15" customHeight="1">
      <c r="A529" s="579" t="str">
        <f>+D529</f>
        <v>N/A</v>
      </c>
      <c r="B529" s="579"/>
      <c r="C529" s="578" t="str">
        <f>$J$9</f>
        <v>kart. čierna</v>
      </c>
      <c r="D529" s="580" t="s">
        <v>156</v>
      </c>
      <c r="E529" s="579" t="e">
        <f>+VLOOKUP(A529,cennik!$A:$G,2,FALSE)</f>
        <v>#N/A</v>
      </c>
      <c r="F529" s="579" t="e">
        <f>+VLOOKUP(A529,cennik!A:B,2,FALSE)</f>
        <v>#N/A</v>
      </c>
      <c r="I529" s="578" t="str">
        <f>$J$9</f>
        <v>kart. čierna</v>
      </c>
    </row>
    <row r="530" spans="1:9" ht="15" customHeight="1">
      <c r="A530" s="579">
        <f t="shared" si="37"/>
        <v>89137</v>
      </c>
      <c r="B530" s="579"/>
      <c r="C530" s="578" t="str">
        <f>$J$4</f>
        <v xml:space="preserve">strieborná </v>
      </c>
      <c r="D530" s="580">
        <v>89137</v>
      </c>
      <c r="E530" s="579" t="str">
        <f>+VLOOKUP(A530,cennik!$A:$G,2,FALSE)</f>
        <v>SEVROLL-183 UHOLNÍK 17*11 STRIEBOR. 2,35</v>
      </c>
      <c r="F530" s="579" t="str">
        <f>+VLOOKUP(A530,cennik!A:B,2,FALSE)</f>
        <v>SEVROLL-183 UHOLNÍK 17*11 STRIEBOR. 2,35</v>
      </c>
      <c r="G530" s="578" t="e">
        <f>+VLOOKUP(A530,#REF!,4,FALSE)</f>
        <v>#REF!</v>
      </c>
      <c r="H530" s="578"/>
      <c r="I530" s="578" t="str">
        <f>$J$4</f>
        <v xml:space="preserve">strieborná </v>
      </c>
    </row>
    <row r="531" spans="1:9" ht="15" customHeight="1">
      <c r="A531" s="577">
        <v>394826</v>
      </c>
      <c r="B531" s="578"/>
      <c r="C531" s="578" t="str">
        <f>$J$18</f>
        <v>biela mat</v>
      </c>
      <c r="D531" s="577">
        <v>394826</v>
      </c>
      <c r="E531" s="579" t="str">
        <f>+VLOOKUP(A531,cennik!$A:$G,2,FALSE)</f>
        <v>SEVROLL uholník 17x11mm 2,35m biela mat</v>
      </c>
      <c r="F531" s="579" t="str">
        <f>+VLOOKUP(A531,cennik!A:B,2,FALSE)</f>
        <v>SEVROLL uholník 17x11mm 2,35m biela mat</v>
      </c>
      <c r="G531" s="578"/>
      <c r="H531" s="578"/>
      <c r="I531" s="578" t="str">
        <f>$J$18</f>
        <v>biela mat</v>
      </c>
    </row>
    <row r="532" spans="1:9" ht="15" customHeight="1">
      <c r="A532" s="579">
        <f t="shared" si="37"/>
        <v>276732</v>
      </c>
      <c r="B532" s="579"/>
      <c r="C532" s="578" t="str">
        <f>$J$15</f>
        <v>biela lesk</v>
      </c>
      <c r="D532" s="580">
        <v>276732</v>
      </c>
      <c r="E532" s="579" t="str">
        <f>+VLOOKUP(A532,cennik!$A:$G,2,FALSE)</f>
        <v>SEVROLL uholník 17x11mm 2,35m biela lesk</v>
      </c>
      <c r="F532" s="579" t="str">
        <f>+VLOOKUP(A532,cennik!A:B,2,FALSE)</f>
        <v>SEVROLL uholník 17x11mm 2,35m biela lesk</v>
      </c>
      <c r="G532" s="578" t="e">
        <f>+VLOOKUP(A532,#REF!,4,FALSE)</f>
        <v>#REF!</v>
      </c>
      <c r="H532" s="578"/>
      <c r="I532" s="578" t="str">
        <f>$J$15</f>
        <v>biela lesk</v>
      </c>
    </row>
    <row r="533" spans="1:9" ht="15" customHeight="1">
      <c r="A533" s="52">
        <f t="shared" si="37"/>
        <v>89138</v>
      </c>
      <c r="B533" s="52" t="s">
        <v>65</v>
      </c>
      <c r="C533" s="1" t="str">
        <f>$J$5</f>
        <v>zlatá</v>
      </c>
      <c r="D533" s="53">
        <v>89138</v>
      </c>
      <c r="E533" s="52" t="str">
        <f>+VLOOKUP(A533,cennik!$A:$G,2,FALSE)</f>
        <v>SEVROLL-184 UHOLNÍK 17*11 ZLATÁ 3M</v>
      </c>
      <c r="F533" s="52" t="str">
        <f>+VLOOKUP(A533,cennik!A:B,2,FALSE)</f>
        <v>SEVROLL-184 UHOLNÍK 17*11 ZLATÁ 3M</v>
      </c>
      <c r="G533" s="1" t="e">
        <f>+VLOOKUP(A533,#REF!,4,FALSE)</f>
        <v>#REF!</v>
      </c>
      <c r="I533" s="1" t="str">
        <f>$J$5</f>
        <v>zlatá</v>
      </c>
    </row>
    <row r="534" spans="1:9" ht="15" customHeight="1">
      <c r="A534" s="52" t="str">
        <f>+D534</f>
        <v>N/A</v>
      </c>
      <c r="B534" s="52"/>
      <c r="C534" s="1" t="str">
        <f>$J$7</f>
        <v>oliva kartáčovaná</v>
      </c>
      <c r="D534" s="53" t="s">
        <v>156</v>
      </c>
      <c r="E534" s="52" t="e">
        <f>+VLOOKUP(A534,cennik!$A:$G,2,FALSE)</f>
        <v>#N/A</v>
      </c>
      <c r="F534" s="52" t="e">
        <f>+VLOOKUP(A534,cennik!A:B,2,FALSE)</f>
        <v>#N/A</v>
      </c>
      <c r="G534" s="1" t="e">
        <f>+VLOOKUP(A534,#REF!,4,FALSE)</f>
        <v>#REF!</v>
      </c>
      <c r="I534" s="1" t="str">
        <f>$J$7</f>
        <v>oliva kartáčovaná</v>
      </c>
    </row>
    <row r="535" spans="1:9" ht="15" customHeight="1">
      <c r="A535" s="52" t="str">
        <f>+D535</f>
        <v>N/A</v>
      </c>
      <c r="B535" s="52"/>
      <c r="C535" s="1" t="str">
        <f>$J$8</f>
        <v>kart. tm. oliva</v>
      </c>
      <c r="D535" s="53" t="s">
        <v>156</v>
      </c>
      <c r="E535" s="52" t="e">
        <f>+VLOOKUP(A535,cennik!$A:$G,2,FALSE)</f>
        <v>#N/A</v>
      </c>
      <c r="F535" s="52" t="e">
        <f>+VLOOKUP(A535,cennik!A:B,2,FALSE)</f>
        <v>#N/A</v>
      </c>
      <c r="I535" s="1" t="str">
        <f>$J$8</f>
        <v>kart. tm. oliva</v>
      </c>
    </row>
    <row r="536" spans="1:9" ht="15" customHeight="1">
      <c r="A536" s="1">
        <v>405367</v>
      </c>
      <c r="C536" s="1" t="str">
        <f>$J$16</f>
        <v>čierna lesk</v>
      </c>
      <c r="D536" s="2">
        <v>405367</v>
      </c>
      <c r="E536" s="52" t="str">
        <f>+VLOOKUP(A536,cennik!$A:$G,2,FALSE)</f>
        <v>SEVROLL uholník 17x11mm 3m čierna lesk</v>
      </c>
      <c r="F536" s="52" t="str">
        <f>+VLOOKUP(A536,cennik!A:B,2,FALSE)</f>
        <v>SEVROLL uholník 17x11mm 3m čierna lesk</v>
      </c>
      <c r="I536" s="1" t="str">
        <f>$J$16</f>
        <v>čierna lesk</v>
      </c>
    </row>
    <row r="537" spans="1:9" ht="15" customHeight="1">
      <c r="A537" s="1">
        <v>412226</v>
      </c>
      <c r="C537" s="1" t="str">
        <f>$J$17</f>
        <v>čierna mat</v>
      </c>
      <c r="D537" s="1">
        <v>412226</v>
      </c>
      <c r="E537" s="52" t="str">
        <f>+VLOOKUP(A537,cennik!$A:$G,2,FALSE)</f>
        <v>SEVROLL uholník 17x11mm 3m čierna mat</v>
      </c>
      <c r="F537" s="52" t="str">
        <f>+VLOOKUP(A537,cennik!A:B,2,FALSE)</f>
        <v>SEVROLL uholník 17x11mm 3m čierna mat</v>
      </c>
      <c r="I537" s="1" t="str">
        <f>$J$17</f>
        <v>čierna mat</v>
      </c>
    </row>
    <row r="538" spans="1:9" ht="15" customHeight="1">
      <c r="A538" s="52" t="str">
        <f>+D538</f>
        <v>N/A</v>
      </c>
      <c r="B538" s="52"/>
      <c r="C538" s="1" t="str">
        <f>$J$9</f>
        <v>kart. čierna</v>
      </c>
      <c r="D538" s="53" t="s">
        <v>156</v>
      </c>
      <c r="E538" s="52" t="e">
        <f>+VLOOKUP(A538,cennik!$A:$G,2,FALSE)</f>
        <v>#N/A</v>
      </c>
      <c r="F538" s="52" t="e">
        <f>+VLOOKUP(A538,cennik!A:B,2,FALSE)</f>
        <v>#N/A</v>
      </c>
      <c r="I538" s="1" t="str">
        <f>$J$9</f>
        <v>kart. čierna</v>
      </c>
    </row>
    <row r="539" spans="1:9" ht="15" customHeight="1">
      <c r="A539" s="52">
        <f t="shared" si="37"/>
        <v>89139</v>
      </c>
      <c r="B539" s="52"/>
      <c r="C539" s="1" t="str">
        <f>$J$6</f>
        <v>oliva</v>
      </c>
      <c r="D539" s="53">
        <v>89139</v>
      </c>
      <c r="E539" s="52" t="str">
        <f>+VLOOKUP(A539,cennik!$A:$G,2,FALSE)</f>
        <v>SEVROLL-184 UHOLNÍK 17*11 OLIVOVÁ 3M</v>
      </c>
      <c r="F539" s="52" t="str">
        <f>+VLOOKUP(A539,cennik!A:B,2,FALSE)</f>
        <v>SEVROLL-184 UHOLNÍK 17*11 OLIVOVÁ 3M</v>
      </c>
      <c r="G539" s="1" t="e">
        <f>+VLOOKUP(A539,#REF!,4,FALSE)</f>
        <v>#REF!</v>
      </c>
      <c r="I539" s="1" t="str">
        <f>$J$6</f>
        <v>oliva</v>
      </c>
    </row>
    <row r="540" spans="1:9" ht="15" customHeight="1">
      <c r="A540" s="52">
        <f t="shared" si="37"/>
        <v>89140</v>
      </c>
      <c r="B540" s="52"/>
      <c r="C540" s="1" t="str">
        <f>$J$4</f>
        <v xml:space="preserve">strieborná </v>
      </c>
      <c r="D540" s="53">
        <v>89140</v>
      </c>
      <c r="E540" s="52" t="str">
        <f>+VLOOKUP(A540,cennik!$A:$G,2,FALSE)</f>
        <v>SEVROLL-184 UHOLNÍK 17*11 STRIEBOR. 3M</v>
      </c>
      <c r="F540" s="52" t="str">
        <f>+VLOOKUP(A540,cennik!A:B,2,FALSE)</f>
        <v>SEVROLL-184 UHOLNÍK 17*11 STRIEBOR. 3M</v>
      </c>
      <c r="G540" s="1" t="e">
        <f>+VLOOKUP(A540,#REF!,4,FALSE)</f>
        <v>#REF!</v>
      </c>
      <c r="I540" s="1" t="str">
        <f>$J$4</f>
        <v xml:space="preserve">strieborná </v>
      </c>
    </row>
    <row r="541" spans="1:9" s="578" customFormat="1" ht="15" customHeight="1">
      <c r="A541" s="52" t="str">
        <f>+D541</f>
        <v>N/A</v>
      </c>
      <c r="C541" s="578" t="str">
        <f>$J$18</f>
        <v>biela mat</v>
      </c>
      <c r="D541" s="53" t="s">
        <v>156</v>
      </c>
      <c r="E541" s="579" t="e">
        <f>+VLOOKUP(A541,cennik!$A:$G,2,FALSE)</f>
        <v>#N/A</v>
      </c>
      <c r="F541" s="579" t="e">
        <f>+VLOOKUP(A541,cennik!A:B,2,FALSE)</f>
        <v>#N/A</v>
      </c>
      <c r="I541" s="578" t="str">
        <f>$J$18</f>
        <v>biela mat</v>
      </c>
    </row>
    <row r="542" spans="1:9" s="578" customFormat="1" ht="15" customHeight="1">
      <c r="A542" s="52">
        <f t="shared" si="37"/>
        <v>267880</v>
      </c>
      <c r="B542" s="52"/>
      <c r="C542" s="1" t="str">
        <f>$J$15</f>
        <v>biela lesk</v>
      </c>
      <c r="D542" s="53">
        <v>267880</v>
      </c>
      <c r="E542" s="52" t="str">
        <f>+VLOOKUP(A542,cennik!$A:$G,2,FALSE)</f>
        <v>SEVROLL uholník 17x11mm 3m biela lesk</v>
      </c>
      <c r="F542" s="52" t="str">
        <f>+VLOOKUP(A542,cennik!A:B,2,FALSE)</f>
        <v>SEVROLL uholník 17x11mm 3m biela lesk</v>
      </c>
      <c r="G542" s="1" t="e">
        <f>+VLOOKUP(A542,#REF!,4,FALSE)</f>
        <v>#REF!</v>
      </c>
      <c r="H542" s="1"/>
      <c r="I542" s="1" t="str">
        <f>$J$15</f>
        <v>biela lesk</v>
      </c>
    </row>
    <row r="543" spans="1:9" s="578" customFormat="1" ht="15" customHeight="1">
      <c r="A543" s="579" t="str">
        <f t="shared" si="37"/>
        <v>N/A</v>
      </c>
      <c r="B543" s="579" t="s">
        <v>61</v>
      </c>
      <c r="C543" s="578" t="str">
        <f>$J$5</f>
        <v>zlatá</v>
      </c>
      <c r="D543" s="580" t="s">
        <v>156</v>
      </c>
      <c r="E543" s="579" t="e">
        <f>+VLOOKUP(A543,cennik!$A:$G,2,FALSE)</f>
        <v>#N/A</v>
      </c>
      <c r="F543" s="579" t="e">
        <f>+VLOOKUP(A543,cennik!A:B,2,FALSE)</f>
        <v>#N/A</v>
      </c>
      <c r="G543" s="578" t="e">
        <f>+VLOOKUP(A543,#REF!,4,FALSE)</f>
        <v>#REF!</v>
      </c>
      <c r="I543" s="578" t="str">
        <f>$J$5</f>
        <v>zlatá</v>
      </c>
    </row>
    <row r="544" spans="1:9" s="578" customFormat="1" ht="15" customHeight="1">
      <c r="A544" s="579">
        <f t="shared" si="37"/>
        <v>89052</v>
      </c>
      <c r="B544" s="579"/>
      <c r="C544" s="578" t="str">
        <f>$J$6</f>
        <v>oliva</v>
      </c>
      <c r="D544" s="580">
        <v>89052</v>
      </c>
      <c r="E544" s="579" t="str">
        <f>+VLOOKUP(A544,cennik!$A:$G,2,FALSE)</f>
        <v>SEVROLL-278 UHOLNÍK K2 1,70M OLIVOVÁ</v>
      </c>
      <c r="F544" s="579" t="str">
        <f>+VLOOKUP(A544,cennik!A:B,2,FALSE)</f>
        <v>SEVROLL-278 UHOLNÍK K2 1,70M OLIVOVÁ</v>
      </c>
      <c r="G544" s="578" t="e">
        <f>+VLOOKUP(A544,#REF!,4,FALSE)</f>
        <v>#REF!</v>
      </c>
      <c r="I544" s="578" t="str">
        <f>$J$6</f>
        <v>oliva</v>
      </c>
    </row>
    <row r="545" spans="1:9" s="578" customFormat="1" ht="15" customHeight="1">
      <c r="A545" s="579">
        <f t="shared" si="37"/>
        <v>89050</v>
      </c>
      <c r="B545" s="579"/>
      <c r="C545" s="578" t="str">
        <f>$J$4</f>
        <v xml:space="preserve">strieborná </v>
      </c>
      <c r="D545" s="580">
        <v>89050</v>
      </c>
      <c r="E545" s="579" t="str">
        <f>+VLOOKUP(A545,cennik!$A:$G,2,FALSE)</f>
        <v>SEVROLL-278 UHOLNÍK K2 1,70M STRIEBORNÁ</v>
      </c>
      <c r="F545" s="579" t="str">
        <f>+VLOOKUP(A545,cennik!A:B,2,FALSE)</f>
        <v>SEVROLL-278 UHOLNÍK K2 1,70M STRIEBORNÁ</v>
      </c>
      <c r="G545" s="578" t="e">
        <f>+VLOOKUP(A545,#REF!,4,FALSE)</f>
        <v>#REF!</v>
      </c>
      <c r="I545" s="578" t="str">
        <f>$J$4</f>
        <v xml:space="preserve">strieborná </v>
      </c>
    </row>
    <row r="546" spans="1:9" s="578" customFormat="1" ht="15" customHeight="1">
      <c r="A546" s="52" t="str">
        <f>+D546</f>
        <v>N/A</v>
      </c>
      <c r="B546" s="52"/>
      <c r="C546" s="1" t="str">
        <f>$J$16</f>
        <v>čierna lesk</v>
      </c>
      <c r="D546" s="53" t="s">
        <v>156</v>
      </c>
      <c r="E546" s="52" t="e">
        <f>+VLOOKUP(A546,cennik!$A:$G,2,FALSE)</f>
        <v>#N/A</v>
      </c>
      <c r="F546" s="52" t="e">
        <f>+VLOOKUP(A546,cennik!A:B,2,FALSE)</f>
        <v>#N/A</v>
      </c>
      <c r="G546" s="1" t="e">
        <f>+VLOOKUP(A546,#REF!,4,FALSE)</f>
        <v>#REF!</v>
      </c>
      <c r="H546" s="1"/>
      <c r="I546" s="1" t="str">
        <f>$J$16</f>
        <v>čierna lesk</v>
      </c>
    </row>
    <row r="547" spans="1:9" s="578" customFormat="1" ht="15" customHeight="1">
      <c r="A547" s="52" t="str">
        <f>+D547</f>
        <v>N/A</v>
      </c>
      <c r="B547" s="52"/>
      <c r="C547" s="1" t="str">
        <f>$J$17</f>
        <v>čierna mat</v>
      </c>
      <c r="D547" s="53" t="s">
        <v>156</v>
      </c>
      <c r="E547" s="52" t="e">
        <f>+VLOOKUP(A547,cennik!$A:$G,2,FALSE)</f>
        <v>#N/A</v>
      </c>
      <c r="F547" s="52" t="e">
        <f>+VLOOKUP(A547,cennik!A:B,2,FALSE)</f>
        <v>#N/A</v>
      </c>
      <c r="G547" s="1"/>
      <c r="H547" s="1"/>
      <c r="I547" s="1" t="str">
        <f>$J$17</f>
        <v>čierna mat</v>
      </c>
    </row>
    <row r="548" spans="1:9" s="578" customFormat="1" ht="15" customHeight="1">
      <c r="A548" s="579" t="str">
        <f t="shared" si="37"/>
        <v>N/A</v>
      </c>
      <c r="B548" s="579"/>
      <c r="C548" s="578" t="str">
        <f>$J$15</f>
        <v>biela lesk</v>
      </c>
      <c r="D548" s="580" t="s">
        <v>156</v>
      </c>
      <c r="E548" s="579" t="e">
        <f>+VLOOKUP(A548,cennik!$A:$G,2,FALSE)</f>
        <v>#N/A</v>
      </c>
      <c r="F548" s="579" t="e">
        <f>+VLOOKUP(A548,cennik!A:B,2,FALSE)</f>
        <v>#N/A</v>
      </c>
      <c r="I548" s="578" t="str">
        <f>$J$15</f>
        <v>biela lesk</v>
      </c>
    </row>
    <row r="549" spans="1:9" ht="15" customHeight="1">
      <c r="A549" s="579">
        <f t="shared" si="37"/>
        <v>191700</v>
      </c>
      <c r="B549" s="579"/>
      <c r="C549" s="578" t="str">
        <f>$J$7</f>
        <v>oliva kartáčovaná</v>
      </c>
      <c r="D549" s="580">
        <v>191700</v>
      </c>
      <c r="E549" s="579" t="str">
        <f>+VLOOKUP(A549,cennik!$A:$G,2,FALSE)</f>
        <v>SEVROLL uholník K2 Decor 1,7m oliva kartáčov</v>
      </c>
      <c r="F549" s="579" t="str">
        <f>+VLOOKUP(A549,cennik!A:B,2,FALSE)</f>
        <v>SEVROLL uholník K2 Decor 1,7m oliva kartáčov</v>
      </c>
      <c r="G549" s="578"/>
      <c r="H549" s="578"/>
      <c r="I549" s="578" t="str">
        <f>$J$7</f>
        <v>oliva kartáčovaná</v>
      </c>
    </row>
    <row r="550" spans="1:9" s="578" customFormat="1" ht="15" customHeight="1">
      <c r="A550" s="579">
        <f t="shared" si="37"/>
        <v>223326</v>
      </c>
      <c r="B550" s="579"/>
      <c r="C550" s="578" t="str">
        <f>$J$8</f>
        <v>kart. tm. oliva</v>
      </c>
      <c r="D550" s="580">
        <v>223326</v>
      </c>
      <c r="E550" s="579" t="str">
        <f>+VLOOKUP(A550,cennik!$A:$G,2,FALSE)</f>
        <v>SEVROLL úholník K2 1,7m oliva tmavá kartáč</v>
      </c>
      <c r="F550" s="579" t="str">
        <f>+VLOOKUP(A550,cennik!A:B,2,FALSE)</f>
        <v>SEVROLL úholník K2 1,7m oliva tmavá kartáč</v>
      </c>
      <c r="I550" s="578" t="str">
        <f>$J$8</f>
        <v>kart. tm. oliva</v>
      </c>
    </row>
    <row r="551" spans="1:9" ht="15" customHeight="1">
      <c r="A551" s="52" t="str">
        <f>+D551</f>
        <v>N/A</v>
      </c>
      <c r="B551" s="578"/>
      <c r="C551" s="578" t="str">
        <f>$J$18</f>
        <v>biela mat</v>
      </c>
      <c r="D551" s="53" t="s">
        <v>156</v>
      </c>
      <c r="E551" s="579" t="e">
        <f>+VLOOKUP(A551,cennik!$A:$G,2,FALSE)</f>
        <v>#N/A</v>
      </c>
      <c r="F551" s="579" t="e">
        <f>+VLOOKUP(A551,cennik!A:B,2,FALSE)</f>
        <v>#N/A</v>
      </c>
      <c r="G551" s="578"/>
      <c r="H551" s="578"/>
      <c r="I551" s="578" t="str">
        <f>$J$18</f>
        <v>biela mat</v>
      </c>
    </row>
    <row r="552" spans="1:9" ht="15" customHeight="1">
      <c r="A552" s="579">
        <f t="shared" si="37"/>
        <v>223392</v>
      </c>
      <c r="B552" s="579"/>
      <c r="C552" s="578" t="str">
        <f>$J$9</f>
        <v>kart. čierna</v>
      </c>
      <c r="D552" s="580">
        <v>223392</v>
      </c>
      <c r="E552" s="579" t="str">
        <f>+VLOOKUP(A552,cennik!$A:$G,2,FALSE)</f>
        <v>SEVROLL uholník K2 1,7m čierna kartáč</v>
      </c>
      <c r="F552" s="579" t="str">
        <f>+VLOOKUP(A552,cennik!A:B,2,FALSE)</f>
        <v>SEVROLL uholník K2 1,7m čierna kartáč</v>
      </c>
      <c r="G552" s="578"/>
      <c r="H552" s="578"/>
      <c r="I552" s="578" t="str">
        <f>$J$9</f>
        <v>kart. čierna</v>
      </c>
    </row>
    <row r="553" spans="1:9" ht="15" customHeight="1">
      <c r="A553" s="52" t="str">
        <f t="shared" ref="A553:A641" si="48">+D553</f>
        <v>N/A</v>
      </c>
      <c r="B553" s="52" t="s">
        <v>66</v>
      </c>
      <c r="C553" s="1" t="str">
        <f>$J$5</f>
        <v>zlatá</v>
      </c>
      <c r="D553" s="53" t="s">
        <v>156</v>
      </c>
      <c r="E553" s="52" t="e">
        <f>+VLOOKUP(A553,cennik!$A:$G,2,FALSE)</f>
        <v>#N/A</v>
      </c>
      <c r="F553" s="52" t="e">
        <f>+VLOOKUP(A553,cennik!A:B,2,FALSE)</f>
        <v>#N/A</v>
      </c>
      <c r="G553" s="1" t="e">
        <f>+VLOOKUP(A553,#REF!,4,FALSE)</f>
        <v>#REF!</v>
      </c>
      <c r="I553" s="1" t="str">
        <f>$J$5</f>
        <v>zlatá</v>
      </c>
    </row>
    <row r="554" spans="1:9" ht="15" customHeight="1">
      <c r="A554" s="52">
        <f t="shared" si="48"/>
        <v>89055</v>
      </c>
      <c r="B554" s="52"/>
      <c r="C554" s="1" t="str">
        <f>$J$6</f>
        <v>oliva</v>
      </c>
      <c r="D554" s="53">
        <v>89055</v>
      </c>
      <c r="E554" s="52" t="str">
        <f>+VLOOKUP(A554,cennik!$A:$G,2,FALSE)</f>
        <v>SEVROLL uholník K2 Decor 2,35m oliva</v>
      </c>
      <c r="F554" s="52" t="str">
        <f>+VLOOKUP(A554,cennik!A:B,2,FALSE)</f>
        <v>SEVROLL uholník K2 Decor 2,35m oliva</v>
      </c>
      <c r="G554" s="1" t="e">
        <f>+VLOOKUP(A554,#REF!,4,FALSE)</f>
        <v>#REF!</v>
      </c>
      <c r="I554" s="1" t="str">
        <f>$J$6</f>
        <v>oliva</v>
      </c>
    </row>
    <row r="555" spans="1:9" ht="15" customHeight="1">
      <c r="A555" s="52">
        <f t="shared" si="48"/>
        <v>89053</v>
      </c>
      <c r="B555" s="52"/>
      <c r="C555" s="1" t="str">
        <f>$J$4</f>
        <v xml:space="preserve">strieborná </v>
      </c>
      <c r="D555" s="53">
        <v>89053</v>
      </c>
      <c r="E555" s="52" t="str">
        <f>+VLOOKUP(A555,cennik!$A:$G,2,FALSE)</f>
        <v>SEVROLL uholník K2 Decor 2,35m strieborná</v>
      </c>
      <c r="F555" s="52" t="str">
        <f>+VLOOKUP(A555,cennik!A:B,2,FALSE)</f>
        <v>SEVROLL uholník K2 Decor 2,35m strieborná</v>
      </c>
      <c r="G555" s="1" t="e">
        <f>+VLOOKUP(A555,#REF!,4,FALSE)</f>
        <v>#REF!</v>
      </c>
      <c r="I555" s="1" t="str">
        <f>$J$4</f>
        <v xml:space="preserve">strieborná </v>
      </c>
    </row>
    <row r="556" spans="1:9" ht="15" customHeight="1">
      <c r="A556" s="52" t="str">
        <f>+D556</f>
        <v>N/A</v>
      </c>
      <c r="B556" s="52"/>
      <c r="C556" s="1" t="str">
        <f>$J$16</f>
        <v>čierna lesk</v>
      </c>
      <c r="D556" s="53" t="s">
        <v>156</v>
      </c>
      <c r="E556" s="52" t="e">
        <f>+VLOOKUP(A556,cennik!$A:$G,2,FALSE)</f>
        <v>#N/A</v>
      </c>
      <c r="F556" s="52" t="e">
        <f>+VLOOKUP(A556,cennik!A:B,2,FALSE)</f>
        <v>#N/A</v>
      </c>
      <c r="G556" s="1" t="e">
        <f>+VLOOKUP(A556,#REF!,4,FALSE)</f>
        <v>#REF!</v>
      </c>
      <c r="I556" s="1" t="str">
        <f>$J$16</f>
        <v>čierna lesk</v>
      </c>
    </row>
    <row r="557" spans="1:9" ht="15" customHeight="1">
      <c r="A557" s="52" t="str">
        <f>+D557</f>
        <v>N/A</v>
      </c>
      <c r="B557" s="52"/>
      <c r="C557" s="1" t="str">
        <f>$J$17</f>
        <v>čierna mat</v>
      </c>
      <c r="D557" s="53" t="s">
        <v>156</v>
      </c>
      <c r="E557" s="52" t="e">
        <f>+VLOOKUP(A557,cennik!$A:$G,2,FALSE)</f>
        <v>#N/A</v>
      </c>
      <c r="F557" s="52" t="e">
        <f>+VLOOKUP(A557,cennik!A:B,2,FALSE)</f>
        <v>#N/A</v>
      </c>
      <c r="I557" s="1" t="str">
        <f>$J$17</f>
        <v>čierna mat</v>
      </c>
    </row>
    <row r="558" spans="1:9" ht="15" customHeight="1">
      <c r="A558" s="52">
        <f t="shared" si="48"/>
        <v>191701</v>
      </c>
      <c r="B558" s="52"/>
      <c r="C558" s="1" t="str">
        <f>$J$7</f>
        <v>oliva kartáčovaná</v>
      </c>
      <c r="D558" s="53">
        <v>191701</v>
      </c>
      <c r="E558" s="52" t="str">
        <f>+VLOOKUP(A558,cennik!$A:$G,2,FALSE)</f>
        <v>SEVROLL uholník K2 Decor 2,35m oliva kartáč.</v>
      </c>
      <c r="F558" s="52" t="str">
        <f>+VLOOKUP(A558,cennik!A:B,2,FALSE)</f>
        <v>SEVROLL uholník K2 Decor 2,35m oliva kartáč.</v>
      </c>
      <c r="I558" s="1" t="str">
        <f>$J$7</f>
        <v>oliva kartáčovaná</v>
      </c>
    </row>
    <row r="559" spans="1:9" ht="15" customHeight="1">
      <c r="A559" s="52">
        <f t="shared" si="48"/>
        <v>223330</v>
      </c>
      <c r="B559" s="52"/>
      <c r="C559" s="1" t="str">
        <f>$J$8</f>
        <v>kart. tm. oliva</v>
      </c>
      <c r="D559" s="53">
        <v>223330</v>
      </c>
      <c r="E559" s="52" t="str">
        <f>+VLOOKUP(A559,cennik!$A:$G,2,FALSE)</f>
        <v>SEVROLL uholník K2 2,35m oliva tmavá kartáč</v>
      </c>
      <c r="F559" s="52" t="str">
        <f>+VLOOKUP(A559,cennik!A:B,2,FALSE)</f>
        <v>SEVROLL uholník K2 2,35m oliva tmavá kartáč</v>
      </c>
      <c r="I559" s="1" t="str">
        <f>$J$8</f>
        <v>kart. tm. oliva</v>
      </c>
    </row>
    <row r="560" spans="1:9" ht="15" customHeight="1">
      <c r="A560" s="52" t="str">
        <f>+D560</f>
        <v>N/A</v>
      </c>
      <c r="B560" s="578"/>
      <c r="C560" s="578" t="str">
        <f>$J$18</f>
        <v>biela mat</v>
      </c>
      <c r="D560" s="53" t="s">
        <v>156</v>
      </c>
      <c r="E560" s="579" t="e">
        <f>+VLOOKUP(A560,cennik!$A:$G,2,FALSE)</f>
        <v>#N/A</v>
      </c>
      <c r="F560" s="579" t="e">
        <f>+VLOOKUP(A560,cennik!A:B,2,FALSE)</f>
        <v>#N/A</v>
      </c>
      <c r="G560" s="578"/>
      <c r="H560" s="578"/>
      <c r="I560" s="578" t="str">
        <f>$J$18</f>
        <v>biela mat</v>
      </c>
    </row>
    <row r="561" spans="1:9" ht="15" customHeight="1">
      <c r="A561" s="52">
        <f t="shared" si="48"/>
        <v>223393</v>
      </c>
      <c r="B561" s="52"/>
      <c r="C561" s="1" t="str">
        <f>$J$9</f>
        <v>kart. čierna</v>
      </c>
      <c r="D561" s="53">
        <v>223393</v>
      </c>
      <c r="E561" s="52" t="str">
        <f>+VLOOKUP(A561,cennik!$A:$G,2,FALSE)</f>
        <v>SEVROLL uholník K2 2,35m čierna kartáč</v>
      </c>
      <c r="F561" s="52" t="str">
        <f>+VLOOKUP(A561,cennik!A:B,2,FALSE)</f>
        <v>SEVROLL uholník K2 2,35m čierna kartáč</v>
      </c>
      <c r="I561" s="1" t="str">
        <f>$J$9</f>
        <v>kart. čierna</v>
      </c>
    </row>
    <row r="562" spans="1:9" ht="15" customHeight="1">
      <c r="A562" s="52" t="str">
        <f t="shared" si="48"/>
        <v>N/A</v>
      </c>
      <c r="B562" s="52"/>
      <c r="C562" s="1" t="str">
        <f>$J$15</f>
        <v>biela lesk</v>
      </c>
      <c r="D562" s="53" t="s">
        <v>156</v>
      </c>
      <c r="E562" s="52" t="e">
        <f>+VLOOKUP(A562,cennik!$A:$G,2,FALSE)</f>
        <v>#N/A</v>
      </c>
      <c r="F562" s="52" t="e">
        <f>+VLOOKUP(A562,cennik!A:B,2,FALSE)</f>
        <v>#N/A</v>
      </c>
      <c r="I562" s="1" t="str">
        <f>$J$15</f>
        <v>biela lesk</v>
      </c>
    </row>
    <row r="563" spans="1:9" ht="15" customHeight="1">
      <c r="A563" s="52" t="str">
        <f t="shared" si="48"/>
        <v>N/A</v>
      </c>
      <c r="B563" s="52" t="s">
        <v>67</v>
      </c>
      <c r="C563" s="1" t="str">
        <f>$J$5</f>
        <v>zlatá</v>
      </c>
      <c r="D563" s="53" t="s">
        <v>156</v>
      </c>
      <c r="E563" s="52" t="e">
        <f>+VLOOKUP(A563,cennik!$A:$G,2,FALSE)</f>
        <v>#N/A</v>
      </c>
      <c r="F563" s="52" t="e">
        <f>+VLOOKUP(A563,cennik!A:B,2,FALSE)</f>
        <v>#N/A</v>
      </c>
      <c r="G563" s="1" t="e">
        <f>+VLOOKUP(A563,#REF!,4,FALSE)</f>
        <v>#REF!</v>
      </c>
      <c r="I563" s="1" t="str">
        <f>$J$5</f>
        <v>zlatá</v>
      </c>
    </row>
    <row r="564" spans="1:9" ht="15" customHeight="1">
      <c r="A564" s="52">
        <f t="shared" si="48"/>
        <v>89058</v>
      </c>
      <c r="B564" s="52"/>
      <c r="C564" s="1" t="str">
        <f>$J$6</f>
        <v>oliva</v>
      </c>
      <c r="D564" s="53">
        <v>89058</v>
      </c>
      <c r="E564" s="52" t="str">
        <f>+VLOOKUP(A564,cennik!$A:$G,2,FALSE)</f>
        <v>SEVROLL uholník K2 Decor 3m oliva</v>
      </c>
      <c r="F564" s="52" t="str">
        <f>+VLOOKUP(A564,cennik!A:B,2,FALSE)</f>
        <v>SEVROLL uholník K2 Decor 3m oliva</v>
      </c>
      <c r="G564" s="1" t="e">
        <f>+VLOOKUP(A564,#REF!,4,FALSE)</f>
        <v>#REF!</v>
      </c>
      <c r="I564" s="1" t="str">
        <f>$J$6</f>
        <v>oliva</v>
      </c>
    </row>
    <row r="565" spans="1:9" ht="15" customHeight="1">
      <c r="A565" s="52" t="str">
        <f>+D565</f>
        <v>N/A</v>
      </c>
      <c r="B565" s="52"/>
      <c r="C565" s="1" t="str">
        <f>$J$16</f>
        <v>čierna lesk</v>
      </c>
      <c r="D565" s="53" t="s">
        <v>156</v>
      </c>
      <c r="E565" s="52" t="e">
        <f>+VLOOKUP(A565,cennik!$A:$G,2,FALSE)</f>
        <v>#N/A</v>
      </c>
      <c r="F565" s="52" t="e">
        <f>+VLOOKUP(A565,cennik!A:B,2,FALSE)</f>
        <v>#N/A</v>
      </c>
      <c r="G565" s="1" t="e">
        <f>+VLOOKUP(A565,#REF!,4,FALSE)</f>
        <v>#REF!</v>
      </c>
      <c r="I565" s="1" t="str">
        <f>$J$16</f>
        <v>čierna lesk</v>
      </c>
    </row>
    <row r="566" spans="1:9" ht="15" customHeight="1">
      <c r="A566" s="52" t="str">
        <f>+D566</f>
        <v>N/A</v>
      </c>
      <c r="B566" s="52"/>
      <c r="C566" s="1" t="str">
        <f>$J$17</f>
        <v>čierna mat</v>
      </c>
      <c r="D566" s="53" t="s">
        <v>156</v>
      </c>
      <c r="E566" s="52" t="e">
        <f>+VLOOKUP(A566,cennik!$A:$G,2,FALSE)</f>
        <v>#N/A</v>
      </c>
      <c r="F566" s="52" t="e">
        <f>+VLOOKUP(A566,cennik!A:B,2,FALSE)</f>
        <v>#N/A</v>
      </c>
      <c r="I566" s="1" t="str">
        <f>$J$17</f>
        <v>čierna mat</v>
      </c>
    </row>
    <row r="567" spans="1:9" ht="15" customHeight="1">
      <c r="A567" s="52">
        <f t="shared" si="48"/>
        <v>89056</v>
      </c>
      <c r="B567" s="52"/>
      <c r="C567" s="1" t="str">
        <f>$J$4</f>
        <v xml:space="preserve">strieborná </v>
      </c>
      <c r="D567" s="53">
        <v>89056</v>
      </c>
      <c r="E567" s="52" t="str">
        <f>+VLOOKUP(A567,cennik!$A:$G,2,FALSE)</f>
        <v>SEVROLL uholník K2 Decor 3m strieborná</v>
      </c>
      <c r="F567" s="52" t="str">
        <f>+VLOOKUP(A567,cennik!A:B,2,FALSE)</f>
        <v>SEVROLL uholník K2 Decor 3m strieborná</v>
      </c>
      <c r="G567" s="1" t="e">
        <f>+VLOOKUP(A567,#REF!,4,FALSE)</f>
        <v>#REF!</v>
      </c>
      <c r="I567" s="1" t="str">
        <f>$J$4</f>
        <v xml:space="preserve">strieborná </v>
      </c>
    </row>
    <row r="568" spans="1:9" ht="15" customHeight="1">
      <c r="A568" s="52">
        <f t="shared" si="48"/>
        <v>191702</v>
      </c>
      <c r="B568" s="52"/>
      <c r="C568" s="1" t="str">
        <f>$J$7</f>
        <v>oliva kartáčovaná</v>
      </c>
      <c r="D568" s="53">
        <v>191702</v>
      </c>
      <c r="E568" s="52" t="str">
        <f>+VLOOKUP(A568,cennik!$A:$G,2,FALSE)</f>
        <v>SEVROLL uholník K2 Decor 3m oliva kartáč.</v>
      </c>
      <c r="F568" s="52" t="str">
        <f>+VLOOKUP(A568,cennik!A:B,2,FALSE)</f>
        <v>SEVROLL uholník K2 Decor 3m oliva kartáč.</v>
      </c>
      <c r="I568" s="1" t="str">
        <f>$J$7</f>
        <v>oliva kartáčovaná</v>
      </c>
    </row>
    <row r="569" spans="1:9" ht="15" customHeight="1">
      <c r="A569" s="52">
        <f t="shared" si="48"/>
        <v>223331</v>
      </c>
      <c r="B569" s="52"/>
      <c r="C569" s="1" t="str">
        <f>$J$8</f>
        <v>kart. tm. oliva</v>
      </c>
      <c r="D569" s="53">
        <v>223331</v>
      </c>
      <c r="E569" s="52" t="str">
        <f>+VLOOKUP(A569,cennik!$A:$G,2,FALSE)</f>
        <v>SEVROLL uholník K2 3m oliva tmavá kartáč.</v>
      </c>
      <c r="F569" s="52" t="str">
        <f>+VLOOKUP(A569,cennik!A:B,2,FALSE)</f>
        <v>SEVROLL uholník K2 3m oliva tmavá kartáč.</v>
      </c>
      <c r="I569" s="1" t="str">
        <f>$J$8</f>
        <v>kart. tm. oliva</v>
      </c>
    </row>
    <row r="570" spans="1:9" ht="15" customHeight="1">
      <c r="A570" s="52" t="str">
        <f>+D570</f>
        <v>N/A</v>
      </c>
      <c r="B570" s="578"/>
      <c r="C570" s="578" t="str">
        <f>$J$18</f>
        <v>biela mat</v>
      </c>
      <c r="D570" s="53" t="s">
        <v>156</v>
      </c>
      <c r="E570" s="579" t="e">
        <f>+VLOOKUP(A570,cennik!$A:$G,2,FALSE)</f>
        <v>#N/A</v>
      </c>
      <c r="F570" s="579" t="e">
        <f>+VLOOKUP(A570,cennik!A:B,2,FALSE)</f>
        <v>#N/A</v>
      </c>
      <c r="G570" s="578"/>
      <c r="H570" s="578"/>
      <c r="I570" s="578" t="str">
        <f>$J$18</f>
        <v>biela mat</v>
      </c>
    </row>
    <row r="571" spans="1:9" ht="15" customHeight="1">
      <c r="A571" s="52">
        <f t="shared" si="48"/>
        <v>223394</v>
      </c>
      <c r="B571" s="52"/>
      <c r="C571" s="1" t="str">
        <f>$J$9</f>
        <v>kart. čierna</v>
      </c>
      <c r="D571" s="53">
        <v>223394</v>
      </c>
      <c r="E571" s="52" t="str">
        <f>+VLOOKUP(A571,cennik!$A:$G,2,FALSE)</f>
        <v>SEVROLL uholník K2 3m čierna kartač</v>
      </c>
      <c r="F571" s="52" t="str">
        <f>+VLOOKUP(A571,cennik!A:B,2,FALSE)</f>
        <v>SEVROLL uholník K2 3m čierna kartač</v>
      </c>
      <c r="I571" s="1" t="str">
        <f>$J$9</f>
        <v>kart. čierna</v>
      </c>
    </row>
    <row r="572" spans="1:9" ht="15" customHeight="1">
      <c r="A572" s="52" t="str">
        <f>+D572</f>
        <v>N/A</v>
      </c>
      <c r="B572" s="52"/>
      <c r="C572" s="1" t="str">
        <f>$J$15</f>
        <v>biela lesk</v>
      </c>
      <c r="D572" s="53" t="s">
        <v>156</v>
      </c>
      <c r="E572" s="52" t="e">
        <f>+VLOOKUP(A572,cennik!$A:$G,2,FALSE)</f>
        <v>#N/A</v>
      </c>
      <c r="F572" s="52" t="e">
        <f>+VLOOKUP(A572,cennik!A:B,2,FALSE)</f>
        <v>#N/A</v>
      </c>
      <c r="I572" s="1" t="str">
        <f>$J$15</f>
        <v>biela lesk</v>
      </c>
    </row>
    <row r="573" spans="1:9" ht="15" customHeight="1">
      <c r="A573" s="52">
        <f t="shared" si="48"/>
        <v>135534</v>
      </c>
      <c r="B573" s="52" t="s">
        <v>39</v>
      </c>
      <c r="C573" s="1" t="str">
        <f>$J$6</f>
        <v>oliva</v>
      </c>
      <c r="D573" s="53">
        <v>135534</v>
      </c>
      <c r="E573" s="52" t="str">
        <f>+VLOOKUP(A573,cennik!$A:$G,2,FALSE)</f>
        <v>SEVROLL Victoria II úch.liš. 18mm 2,7m oliva</v>
      </c>
      <c r="F573" s="52" t="str">
        <f>+VLOOKUP(A573,cennik!A:B,2,FALSE)</f>
        <v>SEVROLL Victoria II úch.liš. 18mm 2,7m oliva</v>
      </c>
      <c r="G573" s="1" t="e">
        <f>+VLOOKUP(A573,#REF!,4,FALSE)</f>
        <v>#REF!</v>
      </c>
      <c r="I573" s="1" t="str">
        <f>$J$6</f>
        <v>oliva</v>
      </c>
    </row>
    <row r="574" spans="1:9" ht="15" customHeight="1">
      <c r="A574" s="52">
        <f t="shared" si="48"/>
        <v>135532</v>
      </c>
      <c r="B574" s="52"/>
      <c r="C574" s="1" t="str">
        <f>$J$4</f>
        <v xml:space="preserve">strieborná </v>
      </c>
      <c r="D574" s="53">
        <v>135532</v>
      </c>
      <c r="E574" s="52" t="str">
        <f>+VLOOKUP(A574,cennik!$A:$G,2,FALSE)</f>
        <v>SEVROLL Victoria II úcht.lišta 18mm 2,7m str</v>
      </c>
      <c r="F574" s="52" t="str">
        <f>+VLOOKUP(A574,cennik!A:B,2,FALSE)</f>
        <v>SEVROLL Victoria II úcht.lišta 18mm 2,7m str</v>
      </c>
      <c r="G574" s="1" t="e">
        <f>+VLOOKUP(A574,#REF!,4,FALSE)</f>
        <v>#REF!</v>
      </c>
      <c r="I574" s="1" t="str">
        <f>$J$4</f>
        <v xml:space="preserve">strieborná </v>
      </c>
    </row>
    <row r="575" spans="1:9" s="557" customFormat="1" ht="15" customHeight="1">
      <c r="A575" s="52">
        <v>191699</v>
      </c>
      <c r="B575" s="52"/>
      <c r="C575" s="1" t="str">
        <f>$J$7</f>
        <v>oliva kartáčovaná</v>
      </c>
      <c r="D575" s="53">
        <v>191699</v>
      </c>
      <c r="E575" s="52" t="str">
        <f>+VLOOKUP(A575,cennik!$A:$G,2,FALSE)</f>
        <v>SEVROLL Victoria II úch.lišta 2,7m oliv.kart</v>
      </c>
      <c r="F575" s="52" t="str">
        <f>+VLOOKUP(A575,cennik!A:B,2,FALSE)</f>
        <v>SEVROLL Victoria II úch.lišta 2,7m oliv.kart</v>
      </c>
      <c r="G575" s="1"/>
      <c r="H575" s="1"/>
      <c r="I575" s="1" t="str">
        <f>$J$7</f>
        <v>oliva kartáčovaná</v>
      </c>
    </row>
    <row r="576" spans="1:9" s="557" customFormat="1" ht="15" customHeight="1">
      <c r="A576" s="52">
        <f t="shared" si="48"/>
        <v>216620</v>
      </c>
      <c r="B576" s="52"/>
      <c r="C576" s="1" t="str">
        <f>$J$8</f>
        <v>kart. tm. oliva</v>
      </c>
      <c r="D576" s="53">
        <v>216620</v>
      </c>
      <c r="E576" s="52" t="str">
        <f>+VLOOKUP(A576,cennik!$A:$G,2,FALSE)</f>
        <v>SEVROLL Victoria II 2,7 oliva tmavá kartáč</v>
      </c>
      <c r="F576" s="52" t="str">
        <f>+VLOOKUP(A576,cennik!A:B,2,FALSE)</f>
        <v>SEVROLL Victoria II 2,7 oliva tmavá kartáč</v>
      </c>
      <c r="G576" s="1"/>
      <c r="H576" s="1"/>
      <c r="I576" s="1" t="str">
        <f>$J$8</f>
        <v>kart. tm. oliva</v>
      </c>
    </row>
    <row r="577" spans="1:9" s="557" customFormat="1" ht="15" customHeight="1">
      <c r="A577" s="52">
        <f t="shared" si="48"/>
        <v>216621</v>
      </c>
      <c r="B577" s="52"/>
      <c r="C577" s="1" t="str">
        <f>$J$9</f>
        <v>kart. čierna</v>
      </c>
      <c r="D577" s="53">
        <v>216621</v>
      </c>
      <c r="E577" s="52" t="str">
        <f>+VLOOKUP(A577,cennik!$A:$G,2,FALSE)</f>
        <v>SEVROLL victoria II 2,7m čierna kartáč</v>
      </c>
      <c r="F577" s="52" t="str">
        <f>+VLOOKUP(A577,cennik!A:B,2,FALSE)</f>
        <v>SEVROLL victoria II 2,7m čierna kartáč</v>
      </c>
      <c r="G577" s="1"/>
      <c r="H577" s="1"/>
      <c r="I577" s="1" t="str">
        <f>$J$9</f>
        <v>kart. čierna</v>
      </c>
    </row>
    <row r="578" spans="1:9" s="557" customFormat="1" ht="15" customHeight="1">
      <c r="A578" s="52">
        <f t="shared" si="48"/>
        <v>89098</v>
      </c>
      <c r="B578" s="52" t="s">
        <v>38</v>
      </c>
      <c r="C578" s="1" t="str">
        <f>$J$6</f>
        <v>oliva</v>
      </c>
      <c r="D578" s="53">
        <v>89098</v>
      </c>
      <c r="E578" s="52" t="str">
        <f>+VLOOKUP(A578,cennik!$A:$G,2,FALSE)</f>
        <v>SEVROLL Tytan úch.lišta 18mm 2,7m oliva</v>
      </c>
      <c r="F578" s="52" t="str">
        <f>+VLOOKUP(A578,cennik!A:B,2,FALSE)</f>
        <v>SEVROLL Tytan úch.lišta 18mm 2,7m oliva</v>
      </c>
      <c r="G578" s="1" t="e">
        <f>+VLOOKUP(A578,#REF!,4,FALSE)</f>
        <v>#REF!</v>
      </c>
      <c r="H578" s="1"/>
      <c r="I578" s="1" t="str">
        <f>$J$6</f>
        <v>oliva</v>
      </c>
    </row>
    <row r="579" spans="1:9" s="557" customFormat="1" ht="15" customHeight="1">
      <c r="A579" s="52">
        <f t="shared" si="48"/>
        <v>89099</v>
      </c>
      <c r="B579" s="52"/>
      <c r="C579" s="1" t="str">
        <f>$J$4</f>
        <v xml:space="preserve">strieborná </v>
      </c>
      <c r="D579" s="53">
        <v>89099</v>
      </c>
      <c r="E579" s="52" t="str">
        <f>+VLOOKUP(A579,cennik!$A:$G,2,FALSE)</f>
        <v>SEVROLL Tytan úch.lišta 18mm 2,7m strieborná</v>
      </c>
      <c r="F579" s="52" t="str">
        <f>+VLOOKUP(A579,cennik!A:B,2,FALSE)</f>
        <v>SEVROLL Tytan úch.lišta 18mm 2,7m strieborná</v>
      </c>
      <c r="G579" s="1" t="e">
        <f>+VLOOKUP(A579,#REF!,4,FALSE)</f>
        <v>#REF!</v>
      </c>
      <c r="H579" s="1"/>
      <c r="I579" s="1" t="str">
        <f>$J$4</f>
        <v xml:space="preserve">strieborná </v>
      </c>
    </row>
    <row r="580" spans="1:9" s="557" customFormat="1" ht="15" customHeight="1">
      <c r="A580" s="52">
        <v>213977</v>
      </c>
      <c r="B580" s="181" t="s">
        <v>1440</v>
      </c>
      <c r="C580" s="1" t="str">
        <f>$J$4</f>
        <v xml:space="preserve">strieborná </v>
      </c>
      <c r="D580" s="53">
        <v>213977</v>
      </c>
      <c r="E580" s="52" t="str">
        <f>+VLOOKUP(A580,cennik!$A:$G,2,FALSE)</f>
        <v>SEVROLL Beta 18 úch.lišta 2,70m strieborná</v>
      </c>
      <c r="F580" s="52" t="str">
        <f>+VLOOKUP(A580,cennik!A:B,2,FALSE)</f>
        <v>SEVROLL Beta 18 úch.lišta 2,70m strieborná</v>
      </c>
      <c r="G580" s="1"/>
      <c r="H580" s="1"/>
      <c r="I580" s="1" t="str">
        <f>$J$4</f>
        <v xml:space="preserve">strieborná </v>
      </c>
    </row>
    <row r="581" spans="1:9" s="557" customFormat="1" ht="15" customHeight="1">
      <c r="A581" s="52">
        <v>213978</v>
      </c>
      <c r="B581" s="52"/>
      <c r="C581" s="1" t="str">
        <f>$J$6</f>
        <v>oliva</v>
      </c>
      <c r="D581" s="53">
        <v>213978</v>
      </c>
      <c r="E581" s="52" t="str">
        <f>+VLOOKUP(A581,cennik!$A:$G,2,FALSE)</f>
        <v>SEVROLL Beta 18 úchytová lišta 2,70m oliva</v>
      </c>
      <c r="F581" s="52" t="str">
        <f>+VLOOKUP(A581,cennik!A:B,2,FALSE)</f>
        <v>SEVROLL Beta 18 úchytová lišta 2,70m oliva</v>
      </c>
      <c r="G581" s="1"/>
      <c r="H581" s="1"/>
      <c r="I581" s="1" t="str">
        <f>$J$6</f>
        <v>oliva</v>
      </c>
    </row>
    <row r="582" spans="1:9" s="557" customFormat="1" ht="15" customHeight="1">
      <c r="A582">
        <v>246893</v>
      </c>
      <c r="B582" s="181" t="s">
        <v>1289</v>
      </c>
      <c r="C582" s="1" t="str">
        <f>$J$4</f>
        <v xml:space="preserve">strieborná </v>
      </c>
      <c r="D582" s="53">
        <v>246893</v>
      </c>
      <c r="E582" s="52" t="str">
        <f>+VLOOKUP(A582,cennik!$A:$G,2,FALSE)</f>
        <v>SEVROLL Oaza II úch.lišta 2,7m strieborná</v>
      </c>
      <c r="F582" s="52" t="str">
        <f>+VLOOKUP(A582,cennik!A:B,2,FALSE)</f>
        <v>SEVROLL Oaza II úch.lišta 2,7m strieborná</v>
      </c>
      <c r="G582" s="1"/>
      <c r="H582" s="1"/>
      <c r="I582" s="1" t="str">
        <f>$J$4</f>
        <v xml:space="preserve">strieborná </v>
      </c>
    </row>
    <row r="583" spans="1:9" s="557" customFormat="1" ht="15" customHeight="1">
      <c r="A583">
        <v>246894</v>
      </c>
      <c r="B583" s="52"/>
      <c r="C583" s="1" t="str">
        <f>$J$6</f>
        <v>oliva</v>
      </c>
      <c r="D583" s="53">
        <v>246894</v>
      </c>
      <c r="E583" s="52" t="str">
        <f>+VLOOKUP(A583,cennik!$A:$G,2,FALSE)</f>
        <v>SEVROLL Oaza II úch. Lišta 2,7m oliva</v>
      </c>
      <c r="F583" s="52" t="str">
        <f>+VLOOKUP(A583,cennik!A:B,2,FALSE)</f>
        <v>SEVROLL Oaza II úch. Lišta 2,7m oliva</v>
      </c>
      <c r="G583" s="1"/>
      <c r="H583" s="1"/>
      <c r="I583" s="1" t="str">
        <f>$J$6</f>
        <v>oliva</v>
      </c>
    </row>
    <row r="584" spans="1:9" ht="15" customHeight="1">
      <c r="A584" s="52">
        <f t="shared" si="48"/>
        <v>135136</v>
      </c>
      <c r="B584" s="52" t="s">
        <v>68</v>
      </c>
      <c r="C584" s="1" t="str">
        <f>$J$4</f>
        <v xml:space="preserve">strieborná </v>
      </c>
      <c r="D584" s="53">
        <v>135136</v>
      </c>
      <c r="E584" s="52" t="str">
        <f>+VLOOKUP(A584,cennik!$A:$G,2,FALSE)</f>
        <v>SEVROLL-FACTOR 18 II-UCH.LIŠTA STR. 2,7m</v>
      </c>
      <c r="F584" s="52" t="str">
        <f>+VLOOKUP(A584,cennik!A:B,2,FALSE)</f>
        <v>SEVROLL-FACTOR 18 II-UCH.LIŠTA STR. 2,7m</v>
      </c>
      <c r="G584" s="1" t="e">
        <f>+VLOOKUP(A584,#REF!,4,FALSE)</f>
        <v>#REF!</v>
      </c>
      <c r="I584" s="1" t="str">
        <f>$J$4</f>
        <v xml:space="preserve">strieborná </v>
      </c>
    </row>
    <row r="585" spans="1:9" ht="15" customHeight="1">
      <c r="A585" s="52">
        <f t="shared" si="48"/>
        <v>135503</v>
      </c>
      <c r="B585" s="52"/>
      <c r="C585" s="1" t="str">
        <f>$J$6</f>
        <v>oliva</v>
      </c>
      <c r="D585" s="53">
        <v>135503</v>
      </c>
      <c r="E585" s="52" t="str">
        <f>+VLOOKUP(A585,cennik!$A:$G,2,FALSE)</f>
        <v>SEVROLL- FACTOR 18 II-UCH.LIŠTA OLI 2,7m</v>
      </c>
      <c r="F585" s="52" t="str">
        <f>+VLOOKUP(A585,cennik!A:B,2,FALSE)</f>
        <v>SEVROLL- FACTOR 18 II-UCH.LIŠTA OLI 2,7m</v>
      </c>
      <c r="G585" s="1" t="e">
        <f>+VLOOKUP(A585,#REF!,4,FALSE)</f>
        <v>#REF!</v>
      </c>
      <c r="I585" s="1" t="str">
        <f>$J$6</f>
        <v>oliva</v>
      </c>
    </row>
    <row r="586" spans="1:9" ht="15" customHeight="1">
      <c r="A586" s="52">
        <f t="shared" si="48"/>
        <v>196711</v>
      </c>
      <c r="B586" s="181" t="s">
        <v>1059</v>
      </c>
      <c r="C586" s="1" t="str">
        <f>$J$4</f>
        <v xml:space="preserve">strieborná </v>
      </c>
      <c r="D586" s="53">
        <v>196711</v>
      </c>
      <c r="E586" s="52" t="str">
        <f>+VLOOKUP(A586,cennik!$A:$G,2,FALSE)</f>
        <v>ASTIN Lux II úch.lišta 2,7m strieborná</v>
      </c>
      <c r="F586" s="52" t="str">
        <f>+VLOOKUP(A586,cennik!A:B,2,FALSE)</f>
        <v>ASTIN Lux II úch.lišta 2,7m strieborná</v>
      </c>
      <c r="I586" s="1" t="str">
        <f>$J$4</f>
        <v xml:space="preserve">strieborná </v>
      </c>
    </row>
    <row r="587" spans="1:9" ht="15" customHeight="1">
      <c r="A587" s="52">
        <f t="shared" si="48"/>
        <v>196709</v>
      </c>
      <c r="B587" s="52"/>
      <c r="C587" s="1" t="str">
        <f>$J$6</f>
        <v>oliva</v>
      </c>
      <c r="D587" s="53">
        <v>196709</v>
      </c>
      <c r="E587" s="52" t="str">
        <f>+VLOOKUP(A587,cennik!$A:$G,2,FALSE)</f>
        <v>ASTIN Lux II úch.lišta 2,7m oliva</v>
      </c>
      <c r="F587" s="52" t="str">
        <f>+VLOOKUP(A587,cennik!A:B,2,FALSE)</f>
        <v>ASTIN Lux II úch.lišta 2,7m oliva</v>
      </c>
      <c r="I587" s="1" t="str">
        <f>$J$6</f>
        <v>oliva</v>
      </c>
    </row>
    <row r="588" spans="1:9" ht="15" customHeight="1">
      <c r="A588" s="565">
        <f t="shared" si="48"/>
        <v>96427</v>
      </c>
      <c r="B588" s="559" t="s">
        <v>120</v>
      </c>
      <c r="C588" s="557" t="str">
        <f>$J$6</f>
        <v>oliva</v>
      </c>
      <c r="D588" s="561">
        <v>96427</v>
      </c>
      <c r="E588" s="559" t="str">
        <f>+VLOOKUP(A588,cennik!$A:$G,2,FALSE)</f>
        <v>SEVROLL-FOX II - ÚCH.LIŠTA 2,7m OLIVA</v>
      </c>
      <c r="F588" s="559" t="str">
        <f>+VLOOKUP(A588,cennik!A:B,2,FALSE)</f>
        <v>SEVROLL-FOX II - ÚCH.LIŠTA 2,7m OLIVA</v>
      </c>
      <c r="G588" s="557"/>
      <c r="H588" s="557"/>
      <c r="I588" s="557" t="str">
        <f>$J$6</f>
        <v>oliva</v>
      </c>
    </row>
    <row r="589" spans="1:9" ht="15" customHeight="1">
      <c r="A589" s="565">
        <f t="shared" si="48"/>
        <v>96428</v>
      </c>
      <c r="B589" s="559"/>
      <c r="C589" s="557" t="str">
        <f>$J$5</f>
        <v>zlatá</v>
      </c>
      <c r="D589" s="561">
        <v>96428</v>
      </c>
      <c r="E589" s="559" t="str">
        <f>+VLOOKUP(A589,cennik!$A:$G,2,FALSE)</f>
        <v>SEVROLL Fox úch.lišta 2,7m zlatá</v>
      </c>
      <c r="F589" s="559" t="str">
        <f>+VLOOKUP(A589,cennik!A:B,2,FALSE)</f>
        <v>SEVROLL Fox úch.lišta 2,7m zlatá</v>
      </c>
      <c r="G589" s="557"/>
      <c r="H589" s="557"/>
      <c r="I589" s="557" t="str">
        <f>$J$5</f>
        <v>zlatá</v>
      </c>
    </row>
    <row r="590" spans="1:9" ht="15" customHeight="1">
      <c r="A590" s="565">
        <f t="shared" si="48"/>
        <v>96429</v>
      </c>
      <c r="B590" s="559"/>
      <c r="C590" s="557" t="str">
        <f>$J$7</f>
        <v>oliva kartáčovaná</v>
      </c>
      <c r="D590" s="561">
        <v>96429</v>
      </c>
      <c r="E590" s="559" t="str">
        <f>+VLOOKUP(A590,cennik!$A:$G,2,FALSE)</f>
        <v>SEVROLL Fox II úch.lišta 2,7m oliva kartáč.</v>
      </c>
      <c r="F590" s="559" t="str">
        <f>+VLOOKUP(A590,cennik!A:B,2,FALSE)</f>
        <v>SEVROLL Fox II úch.lišta 2,7m oliva kartáč.</v>
      </c>
      <c r="G590" s="557"/>
      <c r="H590" s="557"/>
      <c r="I590" s="557" t="str">
        <f>$J$7</f>
        <v>oliva kartáčovaná</v>
      </c>
    </row>
    <row r="591" spans="1:9" ht="15" customHeight="1">
      <c r="A591" s="565">
        <f t="shared" si="48"/>
        <v>96421</v>
      </c>
      <c r="B591" s="559"/>
      <c r="C591" s="557" t="str">
        <f>$J$4</f>
        <v xml:space="preserve">strieborná </v>
      </c>
      <c r="D591" s="561">
        <v>96421</v>
      </c>
      <c r="E591" s="559" t="str">
        <f>+VLOOKUP(A591,cennik!$A:$G,2,FALSE)</f>
        <v>SEVROLL Fox II úch.lišta 2,7m strieborná</v>
      </c>
      <c r="F591" s="559" t="str">
        <f>+VLOOKUP(A591,cennik!A:B,2,FALSE)</f>
        <v>SEVROLL Fox II úch.lišta 2,7m strieborná</v>
      </c>
      <c r="G591" s="557"/>
      <c r="H591" s="557"/>
      <c r="I591" s="557" t="str">
        <f>$J$4</f>
        <v xml:space="preserve">strieborná </v>
      </c>
    </row>
    <row r="592" spans="1:9" ht="15" customHeight="1">
      <c r="A592" s="565">
        <f t="shared" si="48"/>
        <v>205074</v>
      </c>
      <c r="B592" s="559"/>
      <c r="C592" s="557" t="str">
        <f>$J$8</f>
        <v>kart. tm. oliva</v>
      </c>
      <c r="D592" s="561">
        <v>205074</v>
      </c>
      <c r="E592" s="559" t="str">
        <f>+VLOOKUP(A592,cennik!$A:$G,2,FALSE)</f>
        <v>SEVROLL Fox II úch.lišta 2,7m oliva tm.kartá</v>
      </c>
      <c r="F592" s="559" t="str">
        <f>+VLOOKUP(A592,cennik!A:B,2,FALSE)</f>
        <v>SEVROLL Fox II úch.lišta 2,7m oliva tm.kartá</v>
      </c>
      <c r="G592" s="557"/>
      <c r="H592" s="557"/>
      <c r="I592" s="557" t="str">
        <f>$J$8</f>
        <v>kart. tm. oliva</v>
      </c>
    </row>
    <row r="593" spans="1:9" ht="15" customHeight="1">
      <c r="A593" s="565">
        <f t="shared" si="48"/>
        <v>205077</v>
      </c>
      <c r="B593" s="559"/>
      <c r="C593" s="557" t="str">
        <f>$J$9</f>
        <v>kart. čierna</v>
      </c>
      <c r="D593" s="561">
        <v>205077</v>
      </c>
      <c r="E593" s="559" t="str">
        <f>+VLOOKUP(A593,cennik!$A:$G,2,FALSE)</f>
        <v>SEVROLL Fox II úch.lišta 2,7m čierna kartáč.</v>
      </c>
      <c r="F593" s="559" t="str">
        <f>+VLOOKUP(A593,cennik!A:B,2,FALSE)</f>
        <v>SEVROLL Fox II úch.lišta 2,7m čierna kartáč.</v>
      </c>
      <c r="G593" s="557"/>
      <c r="H593" s="557"/>
      <c r="I593" s="557" t="str">
        <f>$J$9</f>
        <v>kart. čierna</v>
      </c>
    </row>
    <row r="594" spans="1:9" ht="15" customHeight="1">
      <c r="A594" s="565">
        <f t="shared" si="48"/>
        <v>265065</v>
      </c>
      <c r="B594" s="559"/>
      <c r="C594" s="557" t="str">
        <f>$J$15</f>
        <v>biela lesk</v>
      </c>
      <c r="D594" s="561">
        <v>265065</v>
      </c>
      <c r="E594" s="559" t="str">
        <f>+VLOOKUP(A594,cennik!$A:$G,2,FALSE)</f>
        <v>SEVROLL Fox II úch.lišta 2,7m biela lesk</v>
      </c>
      <c r="F594" s="559" t="str">
        <f>+VLOOKUP(A594,cennik!A:B,2,FALSE)</f>
        <v>SEVROLL Fox II úch.lišta 2,7m biela lesk</v>
      </c>
      <c r="G594" s="557"/>
      <c r="H594" s="557"/>
      <c r="I594" s="557" t="str">
        <f>$J$15</f>
        <v>biela lesk</v>
      </c>
    </row>
    <row r="595" spans="1:9" ht="15" customHeight="1">
      <c r="A595" s="557">
        <v>395506</v>
      </c>
      <c r="B595" s="557"/>
      <c r="C595" s="557" t="str">
        <f>$J$16</f>
        <v>čierna lesk</v>
      </c>
      <c r="D595" s="558">
        <v>395506</v>
      </c>
      <c r="E595" s="559" t="str">
        <f>+VLOOKUP(A595,cennik!$A:$G,2,FALSE)</f>
        <v>SEVROLL Fox II úch.lišta 2,7m čierna lesk</v>
      </c>
      <c r="F595" s="559" t="str">
        <f>+VLOOKUP(A595,cennik!A:B,2,FALSE)</f>
        <v>SEVROLL Fox II úch.lišta 2,7m čierna lesk</v>
      </c>
      <c r="G595" s="557"/>
      <c r="H595" s="557"/>
      <c r="I595" s="557" t="str">
        <f>$J$16</f>
        <v>čierna lesk</v>
      </c>
    </row>
    <row r="596" spans="1:9" ht="15" customHeight="1">
      <c r="A596" s="557">
        <v>425057</v>
      </c>
      <c r="B596" s="557"/>
      <c r="C596" s="557" t="str">
        <f>$J$17</f>
        <v>čierna mat</v>
      </c>
      <c r="D596" s="557">
        <v>425057</v>
      </c>
      <c r="E596" s="559" t="str">
        <f>+VLOOKUP(A596,cennik!$A:$G,2,FALSE)</f>
        <v>SEVROLL Fox II úch.lišta 2,7m čierna mat</v>
      </c>
      <c r="F596" s="559" t="str">
        <f>+VLOOKUP(A596,cennik!A:B,2,FALSE)</f>
        <v>SEVROLL Fox II úch.lišta 2,7m čierna mat</v>
      </c>
      <c r="G596" s="557"/>
      <c r="H596" s="557"/>
      <c r="I596" s="557" t="str">
        <f>$J$17</f>
        <v>čierna mat</v>
      </c>
    </row>
    <row r="597" spans="1:9" ht="15" customHeight="1">
      <c r="A597" s="557">
        <v>372604</v>
      </c>
      <c r="B597" s="583" t="s">
        <v>7990</v>
      </c>
      <c r="C597" s="557" t="str">
        <f>$J$4</f>
        <v xml:space="preserve">strieborná </v>
      </c>
      <c r="D597" s="557">
        <v>372604</v>
      </c>
      <c r="E597" s="559" t="str">
        <f>+VLOOKUP(A597,cennik!$A:$G,2,FALSE)</f>
        <v/>
      </c>
      <c r="F597" s="559" t="str">
        <f>+VLOOKUP(A597,cennik!A:B,2,FALSE)</f>
        <v/>
      </c>
      <c r="G597" s="557"/>
      <c r="H597" s="557"/>
      <c r="I597" s="557"/>
    </row>
    <row r="598" spans="1:9" ht="15" customHeight="1">
      <c r="A598" s="557">
        <v>372605</v>
      </c>
      <c r="B598" s="583" t="s">
        <v>7990</v>
      </c>
      <c r="C598" s="557" t="str">
        <f>$J$6</f>
        <v>oliva</v>
      </c>
      <c r="D598" s="557">
        <v>372605</v>
      </c>
      <c r="E598" s="559" t="str">
        <f>+VLOOKUP(A598,cennik!$A:$G,2,FALSE)</f>
        <v/>
      </c>
      <c r="F598" s="559" t="str">
        <f>+VLOOKUP(A598,cennik!A:B,2,FALSE)</f>
        <v/>
      </c>
      <c r="G598" s="557"/>
      <c r="H598" s="557"/>
      <c r="I598" s="557"/>
    </row>
    <row r="599" spans="1:9" ht="15" customHeight="1">
      <c r="A599" s="557">
        <v>372606</v>
      </c>
      <c r="B599" s="583" t="s">
        <v>7990</v>
      </c>
      <c r="C599" s="557" t="str">
        <f>$J$15</f>
        <v>biela lesk</v>
      </c>
      <c r="D599" s="557">
        <v>372606</v>
      </c>
      <c r="E599" s="559" t="str">
        <f>+VLOOKUP(A599,cennik!$A:$G,2,FALSE)</f>
        <v/>
      </c>
      <c r="F599" s="559" t="str">
        <f>+VLOOKUP(A599,cennik!A:B,2,FALSE)</f>
        <v/>
      </c>
      <c r="G599" s="557"/>
      <c r="H599" s="557"/>
      <c r="I599" s="557"/>
    </row>
    <row r="600" spans="1:9" ht="15" customHeight="1">
      <c r="A600" s="62">
        <f>+D600</f>
        <v>245816</v>
      </c>
      <c r="B600" s="52" t="s">
        <v>1266</v>
      </c>
      <c r="C600" s="1" t="str">
        <f>$J$6</f>
        <v>oliva</v>
      </c>
      <c r="D600" s="53">
        <v>245816</v>
      </c>
      <c r="E600" s="52" t="str">
        <f>+VLOOKUP(A600,cennik!$A:$G,2,FALSE)</f>
        <v>SEVROLL Focus II 18mm úch.lišta 2,7m oliva</v>
      </c>
      <c r="F600" s="52" t="str">
        <f>+VLOOKUP(A600,cennik!A:B,2,FALSE)</f>
        <v>SEVROLL Focus II 18mm úch.lišta 2,7m oliva</v>
      </c>
      <c r="I600" s="1" t="str">
        <f>$J$6</f>
        <v>oliva</v>
      </c>
    </row>
    <row r="601" spans="1:9" ht="15" customHeight="1">
      <c r="A601" s="62">
        <f>+D601</f>
        <v>245815</v>
      </c>
      <c r="B601" s="52"/>
      <c r="C601" s="1" t="str">
        <f>$J$4</f>
        <v xml:space="preserve">strieborná </v>
      </c>
      <c r="D601" s="53">
        <v>245815</v>
      </c>
      <c r="E601" s="52" t="str">
        <f>+VLOOKUP(A601,cennik!$A:$G,2,FALSE)</f>
        <v>SEVROLL Focus II 18mm úch.lišta 2,7m strieb</v>
      </c>
      <c r="F601" s="52" t="str">
        <f>+VLOOKUP(A601,cennik!A:B,2,FALSE)</f>
        <v>SEVROLL Focus II 18mm úch.lišta 2,7m strieb</v>
      </c>
      <c r="I601" s="1" t="str">
        <f>$J$4</f>
        <v xml:space="preserve">strieborná </v>
      </c>
    </row>
    <row r="602" spans="1:9" ht="15" customHeight="1">
      <c r="A602" s="62">
        <f>+D602</f>
        <v>284598</v>
      </c>
      <c r="B602" s="52"/>
      <c r="C602" s="1" t="str">
        <f>$J$5</f>
        <v>zlatá</v>
      </c>
      <c r="D602" s="53">
        <v>284598</v>
      </c>
      <c r="E602" s="52" t="str">
        <f>+VLOOKUP(A602,cennik!$A:$G,2,FALSE)</f>
        <v>SEVROLL Focus II 18mm úchytová lišta 2,7m zl</v>
      </c>
      <c r="F602" s="52" t="str">
        <f>+VLOOKUP(A602,cennik!A:B,2,FALSE)</f>
        <v>SEVROLL Focus II 18mm úchytová lišta 2,7m zl</v>
      </c>
      <c r="I602" s="1" t="str">
        <f>$J$5</f>
        <v>zlatá</v>
      </c>
    </row>
    <row r="603" spans="1:9" ht="15" customHeight="1">
      <c r="A603" s="62">
        <f t="shared" si="48"/>
        <v>90105</v>
      </c>
      <c r="B603" s="52" t="s">
        <v>121</v>
      </c>
      <c r="C603" s="1" t="str">
        <f>$J$6</f>
        <v>oliva</v>
      </c>
      <c r="D603" s="53">
        <v>90105</v>
      </c>
      <c r="E603" s="52" t="str">
        <f>+VLOOKUP(A603,cennik!$A:$G,2,FALSE)</f>
        <v>SEVROLL Universal 18 úch.lišta 2,7m oliva</v>
      </c>
      <c r="F603" s="52" t="str">
        <f>+VLOOKUP(A603,cennik!A:B,2,FALSE)</f>
        <v>SEVROLL Universal 18 úch.lišta 2,7m oliva</v>
      </c>
      <c r="I603" s="1" t="str">
        <f>$J$6</f>
        <v>oliva</v>
      </c>
    </row>
    <row r="604" spans="1:9" ht="15" customHeight="1">
      <c r="A604" s="62">
        <f t="shared" si="48"/>
        <v>90106</v>
      </c>
      <c r="B604" s="52"/>
      <c r="C604" s="1" t="str">
        <f>$J$4</f>
        <v xml:space="preserve">strieborná </v>
      </c>
      <c r="D604" s="53">
        <v>90106</v>
      </c>
      <c r="E604" s="52" t="str">
        <f>+VLOOKUP(A604,cennik!$A:$G,2,FALSE)</f>
        <v>SEVROLL Universal 18 úch.lišta 2,7m striebor</v>
      </c>
      <c r="F604" s="52" t="str">
        <f>+VLOOKUP(A604,cennik!A:B,2,FALSE)</f>
        <v>SEVROLL Universal 18 úch.lišta 2,7m striebor</v>
      </c>
      <c r="I604" s="1" t="str">
        <f>$J$4</f>
        <v xml:space="preserve">strieborná </v>
      </c>
    </row>
    <row r="605" spans="1:9" ht="15" customHeight="1">
      <c r="A605" s="62">
        <f t="shared" si="48"/>
        <v>98110</v>
      </c>
      <c r="B605" s="52" t="s">
        <v>125</v>
      </c>
      <c r="C605" s="1" t="str">
        <f>CONCATENATE(H605,"-",$J$4)</f>
        <v xml:space="preserve">1700-strieborná </v>
      </c>
      <c r="D605" s="53">
        <v>98110</v>
      </c>
      <c r="E605" s="52" t="str">
        <f>+VLOOKUP(A605,cennik!$A:$G,2,FALSE)</f>
        <v>SEVROLL-HOR. VEDENIE COMFORT 1,70 M STR.</v>
      </c>
      <c r="F605" s="52" t="str">
        <f>+VLOOKUP(A605,cennik!A:B,2,FALSE)</f>
        <v>SEVROLL-HOR. VEDENIE COMFORT 1,70 M STR.</v>
      </c>
      <c r="H605" s="1" t="s">
        <v>541</v>
      </c>
      <c r="I605" s="1" t="str">
        <f>CONCATENATE(H605,"-",$J$4)</f>
        <v xml:space="preserve">1700-strieborná </v>
      </c>
    </row>
    <row r="606" spans="1:9" ht="15" customHeight="1">
      <c r="A606" s="62">
        <f t="shared" si="48"/>
        <v>227321</v>
      </c>
      <c r="B606" s="52"/>
      <c r="C606" s="1" t="str">
        <f>CONCATENATE(H606,"-",$J$4)</f>
        <v xml:space="preserve">2350-strieborná </v>
      </c>
      <c r="D606" s="53">
        <v>227321</v>
      </c>
      <c r="E606" s="52" t="str">
        <f>+VLOOKUP(A606,cennik!$A:$G,2,FALSE)</f>
        <v>SEVROLL Comfort horné vedenie 2,35m strieborná</v>
      </c>
      <c r="F606" s="52" t="str">
        <f>+VLOOKUP(A606,cennik!A:B,2,FALSE)</f>
        <v>SEVROLL Comfort horné vedenie 2,35m strieborná</v>
      </c>
      <c r="H606" s="1" t="s">
        <v>542</v>
      </c>
      <c r="I606" s="1" t="str">
        <f>CONCATENATE(H606,"-",$J$4)</f>
        <v xml:space="preserve">2350-strieborná </v>
      </c>
    </row>
    <row r="607" spans="1:9" ht="15" customHeight="1">
      <c r="A607" s="62">
        <f t="shared" si="48"/>
        <v>227324</v>
      </c>
      <c r="B607" s="52"/>
      <c r="C607" s="1" t="str">
        <f>CONCATENATE(H607,"-",$J$4)</f>
        <v xml:space="preserve">3000-strieborná </v>
      </c>
      <c r="D607" s="53">
        <v>227324</v>
      </c>
      <c r="E607" s="52" t="str">
        <f>+VLOOKUP(A607,cennik!$A:$G,2,FALSE)</f>
        <v>SEVROLL Comfort horné vedenie 3m strieborné</v>
      </c>
      <c r="F607" s="52" t="str">
        <f>+VLOOKUP(A607,cennik!A:B,2,FALSE)</f>
        <v>SEVROLL Comfort horné vedenie 3m strieborné</v>
      </c>
      <c r="H607" s="1" t="s">
        <v>543</v>
      </c>
      <c r="I607" s="1" t="str">
        <f>CONCATENATE(H607,"-",$J$4)</f>
        <v xml:space="preserve">3000-strieborná </v>
      </c>
    </row>
    <row r="608" spans="1:9" ht="15" customHeight="1">
      <c r="A608" s="62">
        <f t="shared" si="48"/>
        <v>98079</v>
      </c>
      <c r="B608" s="52"/>
      <c r="C608" s="1" t="str">
        <f>CONCATENATE(H608,"-",$J$4)</f>
        <v xml:space="preserve">4050-strieborná </v>
      </c>
      <c r="D608" s="53">
        <v>98079</v>
      </c>
      <c r="E608" s="52" t="str">
        <f>+VLOOKUP(A608,cennik!$A:$G,2,FALSE)</f>
        <v>SEVROLL -COMFORT HORNÉ VEDENI 4,05M STR</v>
      </c>
      <c r="F608" s="52" t="str">
        <f>+VLOOKUP(A608,cennik!A:B,2,FALSE)</f>
        <v>SEVROLL -COMFORT HORNÉ VEDENI 4,05M STR</v>
      </c>
      <c r="H608" s="1" t="s">
        <v>544</v>
      </c>
      <c r="I608" s="1" t="str">
        <f>CONCATENATE(H608,"-",$J$4)</f>
        <v xml:space="preserve">4050-strieborná </v>
      </c>
    </row>
    <row r="609" spans="1:9" ht="15" customHeight="1">
      <c r="A609" s="62">
        <f t="shared" si="48"/>
        <v>227196</v>
      </c>
      <c r="B609" s="52"/>
      <c r="C609" s="1" t="str">
        <f>CONCATENATE(H609,"-",$J$4)</f>
        <v xml:space="preserve">6000-strieborná </v>
      </c>
      <c r="D609" s="53">
        <v>227196</v>
      </c>
      <c r="E609" s="52" t="str">
        <f>+VLOOKUP(A609,cennik!$A:$G,2,FALSE)</f>
        <v>SEVROLL Comfort horné vedenie 6m strieborné</v>
      </c>
      <c r="F609" s="52" t="str">
        <f>+VLOOKUP(A609,cennik!A:B,2,FALSE)</f>
        <v>SEVROLL Comfort horné vedenie 6m strieborné</v>
      </c>
      <c r="H609" s="157" t="s">
        <v>619</v>
      </c>
      <c r="I609" s="1" t="str">
        <f>CONCATENATE(H609,"-",$J$4)</f>
        <v xml:space="preserve">6000-strieborná </v>
      </c>
    </row>
    <row r="610" spans="1:9" ht="15" customHeight="1">
      <c r="A610" s="62">
        <f t="shared" si="48"/>
        <v>98111</v>
      </c>
      <c r="B610" s="52"/>
      <c r="C610" s="1" t="str">
        <f>CONCATENATE(H610,"-",$J$6)</f>
        <v>1700-oliva</v>
      </c>
      <c r="D610" s="53">
        <v>98111</v>
      </c>
      <c r="E610" s="52" t="str">
        <f>+VLOOKUP(A610,cennik!$A:$G,2,FALSE)</f>
        <v>SEVROLL Comfort horné vedenie 1,7m oliva</v>
      </c>
      <c r="F610" s="52" t="str">
        <f>+VLOOKUP(A610,cennik!A:B,2,FALSE)</f>
        <v>SEVROLL Comfort horné vedenie 1,7m oliva</v>
      </c>
      <c r="H610" s="1" t="s">
        <v>541</v>
      </c>
      <c r="I610" s="1" t="str">
        <f>CONCATENATE(H610,"-",$J$6)</f>
        <v>1700-oliva</v>
      </c>
    </row>
    <row r="611" spans="1:9" ht="15" customHeight="1">
      <c r="A611" s="62">
        <f t="shared" si="48"/>
        <v>98113</v>
      </c>
      <c r="B611" s="52"/>
      <c r="C611" s="1" t="str">
        <f>CONCATENATE(H611,"-",$J$6)</f>
        <v>2350-oliva</v>
      </c>
      <c r="D611" s="53">
        <v>98113</v>
      </c>
      <c r="E611" s="52" t="str">
        <f>+VLOOKUP(A611,cennik!$A:$G,2,FALSE)</f>
        <v>SEVROLL-HOR.VEDENIE COMFORT 2,35 M OLIVA</v>
      </c>
      <c r="F611" s="52" t="str">
        <f>+VLOOKUP(A611,cennik!A:B,2,FALSE)</f>
        <v>SEVROLL-HOR.VEDENIE COMFORT 2,35 M OLIVA</v>
      </c>
      <c r="H611" s="1" t="s">
        <v>542</v>
      </c>
      <c r="I611" s="1" t="str">
        <f>CONCATENATE(H611,"-",$J$6)</f>
        <v>2350-oliva</v>
      </c>
    </row>
    <row r="612" spans="1:9" ht="15" customHeight="1">
      <c r="A612" s="62">
        <f t="shared" si="48"/>
        <v>98115</v>
      </c>
      <c r="B612" s="52"/>
      <c r="C612" s="1" t="str">
        <f>CONCATENATE(H612,"-",$J$6)</f>
        <v>3000-oliva</v>
      </c>
      <c r="D612" s="53">
        <v>98115</v>
      </c>
      <c r="E612" s="52" t="str">
        <f>+VLOOKUP(A612,cennik!$A:$G,2,FALSE)</f>
        <v>SEVROLL-HOR.VEDENIE COMFORT 3 M OLIVA</v>
      </c>
      <c r="F612" s="52" t="str">
        <f>+VLOOKUP(A612,cennik!A:B,2,FALSE)</f>
        <v>SEVROLL-HOR.VEDENIE COMFORT 3 M OLIVA</v>
      </c>
      <c r="H612" s="1" t="s">
        <v>543</v>
      </c>
      <c r="I612" s="1" t="str">
        <f>CONCATENATE(H612,"-",$J$6)</f>
        <v>3000-oliva</v>
      </c>
    </row>
    <row r="613" spans="1:9" ht="15" customHeight="1">
      <c r="A613" s="62">
        <f t="shared" si="48"/>
        <v>98117</v>
      </c>
      <c r="B613" s="52"/>
      <c r="C613" s="1" t="str">
        <f>CONCATENATE(H613,"-",$J$6)</f>
        <v>4050-oliva</v>
      </c>
      <c r="D613" s="53">
        <v>98117</v>
      </c>
      <c r="E613" s="52" t="str">
        <f>+VLOOKUP(A613,cennik!$A:$G,2,FALSE)</f>
        <v>SEVROLL-HOR.VEDENIE COMFORT 4,05 M OLIVA</v>
      </c>
      <c r="F613" s="52" t="str">
        <f>+VLOOKUP(A613,cennik!A:B,2,FALSE)</f>
        <v>SEVROLL-HOR.VEDENIE COMFORT 4,05 M OLIVA</v>
      </c>
      <c r="H613" s="1" t="s">
        <v>544</v>
      </c>
      <c r="I613" s="1" t="str">
        <f>CONCATENATE(H613,"-",$J$6)</f>
        <v>4050-oliva</v>
      </c>
    </row>
    <row r="614" spans="1:9" ht="15" customHeight="1">
      <c r="A614" s="62">
        <f>+D614</f>
        <v>227197</v>
      </c>
      <c r="B614" s="52"/>
      <c r="C614" s="1" t="str">
        <f>CONCATENATE(H614,"-",$J$6)</f>
        <v>6000-oliva</v>
      </c>
      <c r="D614" s="53">
        <v>227197</v>
      </c>
      <c r="E614" s="52" t="str">
        <f>+VLOOKUP(A614,cennik!$A:$G,2,FALSE)</f>
        <v>SEVROLL Comfort horné vedenie 6m oliva</v>
      </c>
      <c r="F614" s="52" t="str">
        <f>+VLOOKUP(A614,cennik!A:B,2,FALSE)</f>
        <v>SEVROLL Comfort horné vedenie 6m oliva</v>
      </c>
      <c r="H614" s="157" t="s">
        <v>619</v>
      </c>
      <c r="I614" s="1" t="str">
        <f>CONCATENATE(H614,"-",$J$6)</f>
        <v>6000-oliva</v>
      </c>
    </row>
    <row r="615" spans="1:9" ht="15" customHeight="1">
      <c r="A615" s="62">
        <f t="shared" si="48"/>
        <v>163106</v>
      </c>
      <c r="B615" s="52" t="s">
        <v>126</v>
      </c>
      <c r="C615" s="1" t="str">
        <f>CONCATENATE(H615,"-",$J$4)</f>
        <v xml:space="preserve">1700-strieborná </v>
      </c>
      <c r="D615" s="53">
        <v>163106</v>
      </c>
      <c r="E615" s="52" t="str">
        <f>+VLOOKUP(A615,cennik!$A:$G,2,FALSE)</f>
        <v>SEVROLL Doubler II spodné vedenie 1,7m strie</v>
      </c>
      <c r="F615" s="52" t="str">
        <f>+VLOOKUP(A615,cennik!A:B,2,FALSE)</f>
        <v>SEVROLL Doubler II spodné vedenie 1,7m strie</v>
      </c>
      <c r="H615" s="1" t="s">
        <v>541</v>
      </c>
      <c r="I615" s="1" t="str">
        <f>CONCATENATE(H615,"-",$J$4)</f>
        <v xml:space="preserve">1700-strieborná </v>
      </c>
    </row>
    <row r="616" spans="1:9" ht="15" customHeight="1">
      <c r="A616" s="62">
        <f t="shared" si="48"/>
        <v>163107</v>
      </c>
      <c r="B616" s="52"/>
      <c r="C616" s="1" t="str">
        <f>CONCATENATE(H616,"-",$J$4)</f>
        <v xml:space="preserve">2350-strieborná </v>
      </c>
      <c r="D616" s="53">
        <v>163107</v>
      </c>
      <c r="E616" s="52" t="str">
        <f>+VLOOKUP(A616,cennik!$A:$G,2,FALSE)</f>
        <v>SEVROLL Doubler II spodné vedenie 2,35m str.</v>
      </c>
      <c r="F616" s="52" t="str">
        <f>+VLOOKUP(A616,cennik!A:B,2,FALSE)</f>
        <v>SEVROLL Doubler II spodné vedenie 2,35m str.</v>
      </c>
      <c r="H616" s="1" t="s">
        <v>542</v>
      </c>
      <c r="I616" s="1" t="str">
        <f>CONCATENATE(H616,"-",$J$4)</f>
        <v xml:space="preserve">2350-strieborná </v>
      </c>
    </row>
    <row r="617" spans="1:9" ht="15" customHeight="1">
      <c r="A617" s="62">
        <f t="shared" si="48"/>
        <v>163108</v>
      </c>
      <c r="B617" s="52"/>
      <c r="C617" s="1" t="str">
        <f>CONCATENATE(H617,"-",$J$4)</f>
        <v xml:space="preserve">3000-strieborná </v>
      </c>
      <c r="D617" s="53">
        <v>163108</v>
      </c>
      <c r="E617" s="52" t="str">
        <f>+VLOOKUP(A617,cennik!$A:$G,2,FALSE)</f>
        <v>SEVROLL Doubler II spodné vedenie 3m str.</v>
      </c>
      <c r="F617" s="52" t="str">
        <f>+VLOOKUP(A617,cennik!A:B,2,FALSE)</f>
        <v>SEVROLL Doubler II spodné vedenie 3m str.</v>
      </c>
      <c r="H617" s="1" t="s">
        <v>543</v>
      </c>
      <c r="I617" s="1" t="str">
        <f>CONCATENATE(H617,"-",$J$4)</f>
        <v xml:space="preserve">3000-strieborná </v>
      </c>
    </row>
    <row r="618" spans="1:9" ht="15" customHeight="1">
      <c r="A618" s="62">
        <f t="shared" si="48"/>
        <v>98107</v>
      </c>
      <c r="B618" s="52"/>
      <c r="C618" s="1" t="str">
        <f>CONCATENATE(H618,"-",$J$4)</f>
        <v xml:space="preserve">4050-strieborná </v>
      </c>
      <c r="D618" s="53">
        <v>98107</v>
      </c>
      <c r="E618" s="52" t="str">
        <f>+VLOOKUP(A618,cennik!$A:$G,2,FALSE)</f>
        <v>SEVROLL Doubler ll spodné vedenie 4,05m str.</v>
      </c>
      <c r="F618" s="52" t="str">
        <f>+VLOOKUP(A618,cennik!A:B,2,FALSE)</f>
        <v>SEVROLL Doubler ll spodné vedenie 4,05m str.</v>
      </c>
      <c r="H618" s="1" t="s">
        <v>544</v>
      </c>
      <c r="I618" s="1" t="str">
        <f>CONCATENATE(H618,"-",$J$4)</f>
        <v xml:space="preserve">4050-strieborná </v>
      </c>
    </row>
    <row r="619" spans="1:9" ht="15" customHeight="1">
      <c r="A619" s="62">
        <f>+D619</f>
        <v>163110</v>
      </c>
      <c r="B619" s="52"/>
      <c r="C619" s="1" t="str">
        <f>CONCATENATE(H619,"-",$J$4)</f>
        <v xml:space="preserve">6000-strieborná </v>
      </c>
      <c r="D619" s="53">
        <v>163110</v>
      </c>
      <c r="E619" s="52" t="str">
        <f>+VLOOKUP(A619,cennik!$A:$G,2,FALSE)</f>
        <v>SEVROLL Doubler II spodné vedenie 6m striebo</v>
      </c>
      <c r="F619" s="52" t="str">
        <f>+VLOOKUP(A619,cennik!A:B,2,FALSE)</f>
        <v>SEVROLL Doubler II spodné vedenie 6m striebo</v>
      </c>
      <c r="H619" s="157" t="s">
        <v>619</v>
      </c>
      <c r="I619" s="1" t="str">
        <f>CONCATENATE(H619,"-",$J$4)</f>
        <v xml:space="preserve">6000-strieborná </v>
      </c>
    </row>
    <row r="620" spans="1:9" ht="15" customHeight="1">
      <c r="A620" s="62">
        <f t="shared" si="48"/>
        <v>163111</v>
      </c>
      <c r="B620" s="52"/>
      <c r="C620" s="1" t="str">
        <f>CONCATENATE(H620,"-",$J$6)</f>
        <v>1700-oliva</v>
      </c>
      <c r="D620" s="53">
        <v>163111</v>
      </c>
      <c r="E620" s="52" t="str">
        <f>+VLOOKUP(A620,cennik!$A:$G,2,FALSE)</f>
        <v>SEVROLL-SPOD.VED. DOUBLER II 1,7M OLIVA</v>
      </c>
      <c r="F620" s="52" t="str">
        <f>+VLOOKUP(A620,cennik!A:B,2,FALSE)</f>
        <v>SEVROLL-SPOD.VED. DOUBLER II 1,7M OLIVA</v>
      </c>
      <c r="H620" s="1" t="s">
        <v>541</v>
      </c>
      <c r="I620" s="1" t="str">
        <f>CONCATENATE(H620,"-",$J$6)</f>
        <v>1700-oliva</v>
      </c>
    </row>
    <row r="621" spans="1:9" ht="15" customHeight="1">
      <c r="A621" s="62">
        <f t="shared" si="48"/>
        <v>163112</v>
      </c>
      <c r="B621" s="52"/>
      <c r="C621" s="1" t="str">
        <f>CONCATENATE(H621,"-",$J$6)</f>
        <v>2350-oliva</v>
      </c>
      <c r="D621" s="53">
        <v>163112</v>
      </c>
      <c r="E621" s="52" t="str">
        <f>+VLOOKUP(A621,cennik!$A:$G,2,FALSE)</f>
        <v>SEVROLL-SPOD.VED. DOUBLER II 2,35M OLIVA</v>
      </c>
      <c r="F621" s="52" t="str">
        <f>+VLOOKUP(A621,cennik!A:B,2,FALSE)</f>
        <v>SEVROLL-SPOD.VED. DOUBLER II 2,35M OLIVA</v>
      </c>
      <c r="H621" s="1" t="s">
        <v>542</v>
      </c>
      <c r="I621" s="1" t="str">
        <f>CONCATENATE(H621,"-",$J$6)</f>
        <v>2350-oliva</v>
      </c>
    </row>
    <row r="622" spans="1:9" ht="15" customHeight="1">
      <c r="A622" s="62">
        <f t="shared" si="48"/>
        <v>163113</v>
      </c>
      <c r="B622" s="52"/>
      <c r="C622" s="1" t="str">
        <f>CONCATENATE(H622,"-",$J$6)</f>
        <v>3000-oliva</v>
      </c>
      <c r="D622" s="53">
        <v>163113</v>
      </c>
      <c r="E622" s="52" t="str">
        <f>+VLOOKUP(A622,cennik!$A:$G,2,FALSE)</f>
        <v>SEVROLL-SPOD.VED. DOUBLER II 3M OLIVA</v>
      </c>
      <c r="F622" s="52" t="str">
        <f>+VLOOKUP(A622,cennik!A:B,2,FALSE)</f>
        <v>SEVROLL-SPOD.VED. DOUBLER II 3M OLIVA</v>
      </c>
      <c r="H622" s="1" t="s">
        <v>543</v>
      </c>
      <c r="I622" s="1" t="str">
        <f>CONCATENATE(H622,"-",$J$6)</f>
        <v>3000-oliva</v>
      </c>
    </row>
    <row r="623" spans="1:9" ht="15" customHeight="1">
      <c r="A623" s="62">
        <f t="shared" si="48"/>
        <v>163114</v>
      </c>
      <c r="B623" s="52"/>
      <c r="C623" s="1" t="str">
        <f>CONCATENATE(H623,"-",$J$6)</f>
        <v>4050-oliva</v>
      </c>
      <c r="D623" s="53">
        <v>163114</v>
      </c>
      <c r="E623" s="52" t="str">
        <f>+VLOOKUP(A623,cennik!$A:$G,2,FALSE)</f>
        <v>SEVROLL-SPOD.VED. DOUBLER II 4,05M OLIVA</v>
      </c>
      <c r="F623" s="52" t="str">
        <f>+VLOOKUP(A623,cennik!A:B,2,FALSE)</f>
        <v>SEVROLL-SPOD.VED. DOUBLER II 4,05M OLIVA</v>
      </c>
      <c r="H623" s="1" t="s">
        <v>544</v>
      </c>
      <c r="I623" s="1" t="str">
        <f>CONCATENATE(H623,"-",$J$6)</f>
        <v>4050-oliva</v>
      </c>
    </row>
    <row r="624" spans="1:9" ht="15" customHeight="1">
      <c r="A624" s="62">
        <f>+D624</f>
        <v>163115</v>
      </c>
      <c r="B624" s="52"/>
      <c r="C624" s="1" t="str">
        <f>CONCATENATE(H624,"-",$J$6)</f>
        <v>6000-oliva</v>
      </c>
      <c r="D624" s="53">
        <v>163115</v>
      </c>
      <c r="E624" s="52" t="str">
        <f>+VLOOKUP(A624,cennik!$A:$G,2,FALSE)</f>
        <v>SEVROLL-SPOD.VED. DOUBLER II 6M OLIVA</v>
      </c>
      <c r="F624" s="52" t="str">
        <f>+VLOOKUP(A624,cennik!A:B,2,FALSE)</f>
        <v>SEVROLL-SPOD.VED. DOUBLER II 6M OLIVA</v>
      </c>
      <c r="H624" s="157" t="s">
        <v>619</v>
      </c>
      <c r="I624" s="1" t="str">
        <f>CONCATENATE(H624,"-",$J$6)</f>
        <v>6000-oliva</v>
      </c>
    </row>
    <row r="625" spans="1:9" ht="15" customHeight="1">
      <c r="A625" s="62">
        <f t="shared" si="48"/>
        <v>163122</v>
      </c>
      <c r="B625" s="52" t="s">
        <v>1171</v>
      </c>
      <c r="C625" s="1" t="str">
        <f>CONCATENATE(H625,"-",$J$4)</f>
        <v xml:space="preserve">1700-strieborná </v>
      </c>
      <c r="D625" s="53">
        <v>163122</v>
      </c>
      <c r="E625" s="52" t="str">
        <f>+VLOOKUP(A625,cennik!$A:$G,2,FALSE)</f>
        <v>SEVROLL-MASKA DOUBLER II 1,7 M strieborn</v>
      </c>
      <c r="F625" s="52" t="str">
        <f>+VLOOKUP(A625,cennik!A:B,2,FALSE)</f>
        <v>SEVROLL-MASKA DOUBLER II 1,7 M strieborn</v>
      </c>
      <c r="H625" s="1" t="s">
        <v>541</v>
      </c>
      <c r="I625" s="1" t="str">
        <f>CONCATENATE(H625,"-",$J$4)</f>
        <v xml:space="preserve">1700-strieborná </v>
      </c>
    </row>
    <row r="626" spans="1:9" ht="15" customHeight="1">
      <c r="A626" s="62">
        <f t="shared" si="48"/>
        <v>163123</v>
      </c>
      <c r="B626" s="52"/>
      <c r="C626" s="1" t="str">
        <f>CONCATENATE(H626,"-",$J$4)</f>
        <v xml:space="preserve">2350-strieborná </v>
      </c>
      <c r="D626" s="53">
        <v>163123</v>
      </c>
      <c r="E626" s="52" t="str">
        <f>+VLOOKUP(A626,cennik!$A:$G,2,FALSE)</f>
        <v>SEVROLL Doubler II maska 2,35m stieborná</v>
      </c>
      <c r="F626" s="52" t="str">
        <f>+VLOOKUP(A626,cennik!A:B,2,FALSE)</f>
        <v>SEVROLL Doubler II maska 2,35m stieborná</v>
      </c>
      <c r="H626" s="1" t="s">
        <v>542</v>
      </c>
      <c r="I626" s="1" t="str">
        <f>CONCATENATE(H626,"-",$J$4)</f>
        <v xml:space="preserve">2350-strieborná </v>
      </c>
    </row>
    <row r="627" spans="1:9" ht="15" customHeight="1">
      <c r="A627" s="62">
        <f t="shared" si="48"/>
        <v>163125</v>
      </c>
      <c r="B627" s="52"/>
      <c r="C627" s="1" t="str">
        <f>CONCATENATE(H627,"-",$J$4)</f>
        <v xml:space="preserve">3000-strieborná </v>
      </c>
      <c r="D627" s="53">
        <v>163125</v>
      </c>
      <c r="E627" s="52" t="str">
        <f>+VLOOKUP(A627,cennik!$A:$G,2,FALSE)</f>
        <v>SEVROLL Doubler II maska 3m strieborná</v>
      </c>
      <c r="F627" s="52" t="str">
        <f>+VLOOKUP(A627,cennik!A:B,2,FALSE)</f>
        <v>SEVROLL Doubler II maska 3m strieborná</v>
      </c>
      <c r="H627" s="1" t="s">
        <v>543</v>
      </c>
      <c r="I627" s="1" t="str">
        <f>CONCATENATE(H627,"-",$J$4)</f>
        <v xml:space="preserve">3000-strieborná </v>
      </c>
    </row>
    <row r="628" spans="1:9" ht="15" customHeight="1">
      <c r="A628" s="62">
        <f t="shared" si="48"/>
        <v>162670</v>
      </c>
      <c r="B628" s="52"/>
      <c r="C628" s="1" t="str">
        <f>CONCATENATE(H628,"-",$J$4)</f>
        <v xml:space="preserve">4050-strieborná </v>
      </c>
      <c r="D628" s="53">
        <v>162670</v>
      </c>
      <c r="E628" s="52" t="str">
        <f>+VLOOKUP(A628,cennik!$A:$G,2,FALSE)</f>
        <v>SEVROLL-MASKA DOUBLER II 4,05 M striebor</v>
      </c>
      <c r="F628" s="52" t="str">
        <f>+VLOOKUP(A628,cennik!A:B,2,FALSE)</f>
        <v>SEVROLL-MASKA DOUBLER II 4,05 M striebor</v>
      </c>
      <c r="H628" s="1" t="s">
        <v>544</v>
      </c>
      <c r="I628" s="1" t="str">
        <f>CONCATENATE(H628,"-",$J$4)</f>
        <v xml:space="preserve">4050-strieborná </v>
      </c>
    </row>
    <row r="629" spans="1:9" ht="15" customHeight="1">
      <c r="A629" s="62">
        <f>+D629</f>
        <v>163128</v>
      </c>
      <c r="B629" s="52"/>
      <c r="C629" s="1" t="str">
        <f>CONCATENATE(H629,"-",$J$4)</f>
        <v xml:space="preserve">6000-strieborná </v>
      </c>
      <c r="D629" s="53">
        <v>163128</v>
      </c>
      <c r="E629" s="52" t="str">
        <f>+VLOOKUP(A629,cennik!$A:$G,2,FALSE)</f>
        <v>SEVROLL-MASKA DOUBLER II 6 M strieborná</v>
      </c>
      <c r="F629" s="52" t="str">
        <f>+VLOOKUP(A629,cennik!A:B,2,FALSE)</f>
        <v>SEVROLL-MASKA DOUBLER II 6 M strieborná</v>
      </c>
      <c r="H629" s="157" t="s">
        <v>619</v>
      </c>
      <c r="I629" s="1" t="str">
        <f>CONCATENATE(H629,"-",$J$4)</f>
        <v xml:space="preserve">6000-strieborná </v>
      </c>
    </row>
    <row r="630" spans="1:9" ht="15" customHeight="1">
      <c r="A630" s="62">
        <f t="shared" si="48"/>
        <v>163129</v>
      </c>
      <c r="B630" s="52"/>
      <c r="C630" s="1" t="str">
        <f>CONCATENATE(H630,"-",$J$6)</f>
        <v>1700-oliva</v>
      </c>
      <c r="D630" s="53">
        <v>163129</v>
      </c>
      <c r="E630" s="52" t="str">
        <f>+VLOOKUP(A630,cennik!$A:$G,2,FALSE)</f>
        <v>SEVROLL-MASKA DOUBLER II 1,7 M OLIVA</v>
      </c>
      <c r="F630" s="52" t="str">
        <f>+VLOOKUP(A630,cennik!A:B,2,FALSE)</f>
        <v>SEVROLL-MASKA DOUBLER II 1,7 M OLIVA</v>
      </c>
      <c r="H630" s="1" t="s">
        <v>541</v>
      </c>
      <c r="I630" s="1" t="str">
        <f>CONCATENATE(H630,"-",$J$6)</f>
        <v>1700-oliva</v>
      </c>
    </row>
    <row r="631" spans="1:9" ht="15" customHeight="1">
      <c r="A631" s="62">
        <f t="shared" si="48"/>
        <v>163131</v>
      </c>
      <c r="B631" s="52"/>
      <c r="C631" s="1" t="str">
        <f>CONCATENATE(H631,"-",$J$6)</f>
        <v>2350-oliva</v>
      </c>
      <c r="D631" s="53">
        <v>163131</v>
      </c>
      <c r="E631" s="52" t="str">
        <f>+VLOOKUP(A631,cennik!$A:$G,2,FALSE)</f>
        <v>SEVROLL-MASKA DOUBLER II 2,35 M OLIVA</v>
      </c>
      <c r="F631" s="52" t="str">
        <f>+VLOOKUP(A631,cennik!A:B,2,FALSE)</f>
        <v>SEVROLL-MASKA DOUBLER II 2,35 M OLIVA</v>
      </c>
      <c r="H631" s="1" t="s">
        <v>542</v>
      </c>
      <c r="I631" s="1" t="str">
        <f>CONCATENATE(H631,"-",$J$6)</f>
        <v>2350-oliva</v>
      </c>
    </row>
    <row r="632" spans="1:9" ht="15" customHeight="1">
      <c r="A632" s="62">
        <f t="shared" si="48"/>
        <v>163132</v>
      </c>
      <c r="B632" s="52"/>
      <c r="C632" s="1" t="str">
        <f>CONCATENATE(H632,"-",$J$6)</f>
        <v>3000-oliva</v>
      </c>
      <c r="D632" s="53">
        <v>163132</v>
      </c>
      <c r="E632" s="52" t="str">
        <f>+VLOOKUP(A632,cennik!$A:$G,2,FALSE)</f>
        <v>SEVROLL-MASKA DOUBLER II 3 M OLIVA</v>
      </c>
      <c r="F632" s="52" t="str">
        <f>+VLOOKUP(A632,cennik!A:B,2,FALSE)</f>
        <v>SEVROLL-MASKA DOUBLER II 3 M OLIVA</v>
      </c>
      <c r="H632" s="1" t="s">
        <v>543</v>
      </c>
      <c r="I632" s="1" t="str">
        <f>CONCATENATE(H632,"-",$J$6)</f>
        <v>3000-oliva</v>
      </c>
    </row>
    <row r="633" spans="1:9" ht="15" customHeight="1">
      <c r="A633" s="62">
        <f t="shared" si="48"/>
        <v>163133</v>
      </c>
      <c r="B633" s="52"/>
      <c r="C633" s="1" t="str">
        <f>CONCATENATE(H633,"-",$J$6)</f>
        <v>4050-oliva</v>
      </c>
      <c r="D633" s="53">
        <v>163133</v>
      </c>
      <c r="E633" s="52" t="str">
        <f>+VLOOKUP(A633,cennik!$A:$G,2,FALSE)</f>
        <v>SEVROLL-MASKA DOUBLER II 4,05 M OLIVA</v>
      </c>
      <c r="F633" s="52" t="str">
        <f>+VLOOKUP(A633,cennik!A:B,2,FALSE)</f>
        <v>SEVROLL-MASKA DOUBLER II 4,05 M OLIVA</v>
      </c>
      <c r="H633" s="1" t="s">
        <v>544</v>
      </c>
      <c r="I633" s="1" t="str">
        <f>CONCATENATE(H633,"-",$J$6)</f>
        <v>4050-oliva</v>
      </c>
    </row>
    <row r="634" spans="1:9" ht="15" customHeight="1">
      <c r="A634" s="62">
        <f>+D634</f>
        <v>163134</v>
      </c>
      <c r="B634" s="52"/>
      <c r="C634" s="1" t="str">
        <f>CONCATENATE(H634,"-",$J$6)</f>
        <v>6000-oliva</v>
      </c>
      <c r="D634" s="53">
        <v>163134</v>
      </c>
      <c r="E634" s="52" t="str">
        <f>+VLOOKUP(A634,cennik!$A:$G,2,FALSE)</f>
        <v>SEVROLL-MASKA DOUBLER II 6 M OLIVA</v>
      </c>
      <c r="F634" s="52" t="str">
        <f>+VLOOKUP(A634,cennik!A:B,2,FALSE)</f>
        <v>SEVROLL-MASKA DOUBLER II 6 M OLIVA</v>
      </c>
      <c r="H634" s="157" t="s">
        <v>619</v>
      </c>
      <c r="I634" s="1" t="str">
        <f>CONCATENATE(H634,"-",$J$6)</f>
        <v>6000-oliva</v>
      </c>
    </row>
    <row r="635" spans="1:9" ht="15" customHeight="1">
      <c r="A635" s="62">
        <f t="shared" si="48"/>
        <v>102835</v>
      </c>
      <c r="B635" s="52" t="s">
        <v>135</v>
      </c>
      <c r="C635" s="1" t="str">
        <f t="shared" ref="C635:C659" si="49">CONCATENATE(H635,"-",$J$4)</f>
        <v xml:space="preserve">1800-strieborná </v>
      </c>
      <c r="D635" s="53">
        <v>102835</v>
      </c>
      <c r="E635" s="52" t="str">
        <f>+VLOOKUP(A635,cennik!$A:$G,2,FALSE)</f>
        <v>SEVROLL-HORNÉ VEDEN. MAXIM 1,8M STR.</v>
      </c>
      <c r="F635" s="52" t="str">
        <f>+VLOOKUP(A635,cennik!A:B,2,FALSE)</f>
        <v>SEVROLL-HORNÉ VEDEN. MAXIM 1,8M STR.</v>
      </c>
      <c r="H635" s="1" t="s">
        <v>545</v>
      </c>
      <c r="I635" s="1" t="str">
        <f t="shared" ref="I635:I659" si="50">CONCATENATE(H635,"-",$J$4)</f>
        <v xml:space="preserve">1800-strieborná </v>
      </c>
    </row>
    <row r="636" spans="1:9" ht="15" customHeight="1">
      <c r="A636" s="62">
        <f t="shared" si="48"/>
        <v>102836</v>
      </c>
      <c r="B636" s="52"/>
      <c r="C636" s="1" t="str">
        <f t="shared" si="49"/>
        <v xml:space="preserve">2500-strieborná </v>
      </c>
      <c r="D636" s="53">
        <v>102836</v>
      </c>
      <c r="E636" s="52" t="str">
        <f>+VLOOKUP(A636,cennik!$A:$G,2,FALSE)</f>
        <v>SEVROLL Maxim horné vedenie 2,5m str.</v>
      </c>
      <c r="F636" s="52" t="str">
        <f>+VLOOKUP(A636,cennik!A:B,2,FALSE)</f>
        <v>SEVROLL Maxim horné vedenie 2,5m str.</v>
      </c>
      <c r="H636" s="1" t="s">
        <v>546</v>
      </c>
      <c r="I636" s="1" t="str">
        <f t="shared" si="50"/>
        <v xml:space="preserve">2500-strieborná </v>
      </c>
    </row>
    <row r="637" spans="1:9" ht="15" customHeight="1">
      <c r="A637" s="62">
        <f t="shared" si="48"/>
        <v>102838</v>
      </c>
      <c r="B637" s="52"/>
      <c r="C637" s="1" t="str">
        <f t="shared" si="49"/>
        <v xml:space="preserve">3500-strieborná </v>
      </c>
      <c r="D637" s="53">
        <v>102838</v>
      </c>
      <c r="E637" s="52" t="str">
        <f>+VLOOKUP(A637,cennik!$A:$G,2,FALSE)</f>
        <v>SEVROLL-HORNÉ VEDENIE MAXIM 3,5M STR.</v>
      </c>
      <c r="F637" s="52" t="str">
        <f>+VLOOKUP(A637,cennik!A:B,2,FALSE)</f>
        <v>SEVROLL-HORNÉ VEDENIE MAXIM 3,5M STR.</v>
      </c>
      <c r="H637" s="1" t="s">
        <v>547</v>
      </c>
      <c r="I637" s="1" t="str">
        <f t="shared" si="50"/>
        <v xml:space="preserve">3500-strieborná </v>
      </c>
    </row>
    <row r="638" spans="1:9" ht="15" customHeight="1" thickBot="1">
      <c r="A638" s="62">
        <f t="shared" si="48"/>
        <v>102839</v>
      </c>
      <c r="B638" s="52"/>
      <c r="C638" s="1" t="str">
        <f t="shared" si="49"/>
        <v xml:space="preserve">4300-strieborná </v>
      </c>
      <c r="D638" s="53">
        <v>102839</v>
      </c>
      <c r="E638" s="52" t="str">
        <f>+VLOOKUP(A638,cennik!$A:$G,2,FALSE)</f>
        <v>SEVROLL-HORNÉ VEDENIE MAXIM 4,3M STR.</v>
      </c>
      <c r="F638" s="52" t="str">
        <f>+VLOOKUP(A638,cennik!A:B,2,FALSE)</f>
        <v>SEVROLL-HORNÉ VEDENIE MAXIM 4,3M STR.</v>
      </c>
      <c r="H638" s="1" t="s">
        <v>548</v>
      </c>
      <c r="I638" s="1" t="str">
        <f t="shared" si="50"/>
        <v xml:space="preserve">4300-strieborná </v>
      </c>
    </row>
    <row r="639" spans="1:9" ht="15" customHeight="1" thickBot="1">
      <c r="A639" s="62">
        <f t="shared" si="48"/>
        <v>197377</v>
      </c>
      <c r="B639" s="52"/>
      <c r="C639" s="1" t="str">
        <f t="shared" si="49"/>
        <v xml:space="preserve">6000-strieborná </v>
      </c>
      <c r="D639" s="53">
        <v>197377</v>
      </c>
      <c r="E639" s="52" t="str">
        <f>+VLOOKUP(A639,cennik!$A:$G,2,FALSE)</f>
        <v>SEVROLL Maxim horné vedenie 6m strieborná</v>
      </c>
      <c r="F639" s="52" t="str">
        <f>+VLOOKUP(A639,cennik!A:B,2,FALSE)</f>
        <v>SEVROLL Maxim horné vedenie 6m strieborná</v>
      </c>
      <c r="H639" s="184">
        <v>6000</v>
      </c>
      <c r="I639" s="1" t="str">
        <f t="shared" si="50"/>
        <v xml:space="preserve">6000-strieborná </v>
      </c>
    </row>
    <row r="640" spans="1:9" ht="15" customHeight="1">
      <c r="A640" s="62">
        <f t="shared" si="48"/>
        <v>180411</v>
      </c>
      <c r="B640" s="52" t="s">
        <v>756</v>
      </c>
      <c r="C640" s="1" t="str">
        <f t="shared" si="49"/>
        <v xml:space="preserve">1800-strieborná </v>
      </c>
      <c r="D640" s="53">
        <v>180411</v>
      </c>
      <c r="E640" s="52" t="str">
        <f>+VLOOKUP(A640,cennik!$A:$G,2,FALSE)</f>
        <v>SEVROLL-SPODNÉ VED. MAXIM II 1,8M STR.</v>
      </c>
      <c r="F640" s="52" t="str">
        <f>+VLOOKUP(A640,cennik!A:B,2,FALSE)</f>
        <v>SEVROLL-SPODNÉ VED. MAXIM II 1,8M STR.</v>
      </c>
      <c r="H640" s="1" t="s">
        <v>545</v>
      </c>
      <c r="I640" s="1" t="str">
        <f t="shared" si="50"/>
        <v xml:space="preserve">1800-strieborná </v>
      </c>
    </row>
    <row r="641" spans="1:9" ht="15" customHeight="1">
      <c r="A641" s="62">
        <f t="shared" si="48"/>
        <v>180412</v>
      </c>
      <c r="B641" s="52"/>
      <c r="C641" s="1" t="str">
        <f t="shared" si="49"/>
        <v xml:space="preserve">2500-strieborná </v>
      </c>
      <c r="D641" s="53">
        <v>180412</v>
      </c>
      <c r="E641" s="52" t="str">
        <f>+VLOOKUP(A641,cennik!$A:$G,2,FALSE)</f>
        <v>SEVROLL Maxim II spodné vedenie 2,5m str.</v>
      </c>
      <c r="F641" s="52" t="str">
        <f>+VLOOKUP(A641,cennik!A:B,2,FALSE)</f>
        <v>SEVROLL Maxim II spodné vedenie 2,5m str.</v>
      </c>
      <c r="H641" s="1" t="s">
        <v>546</v>
      </c>
      <c r="I641" s="1" t="str">
        <f t="shared" si="50"/>
        <v xml:space="preserve">2500-strieborná </v>
      </c>
    </row>
    <row r="642" spans="1:9" ht="15" customHeight="1">
      <c r="A642" s="62">
        <f t="shared" ref="A642:A661" si="51">+D642</f>
        <v>180324</v>
      </c>
      <c r="B642" s="52"/>
      <c r="C642" s="1" t="str">
        <f t="shared" si="49"/>
        <v xml:space="preserve">3500-strieborná </v>
      </c>
      <c r="D642" s="53">
        <v>180324</v>
      </c>
      <c r="E642" s="52" t="str">
        <f>+VLOOKUP(A642,cennik!$A:$G,2,FALSE)</f>
        <v>SEVROLL-SPODNÉ VED. MAXIM II 3,5M STR.</v>
      </c>
      <c r="F642" s="52" t="str">
        <f>+VLOOKUP(A642,cennik!A:B,2,FALSE)</f>
        <v>SEVROLL-SPODNÉ VED. MAXIM II 3,5M STR.</v>
      </c>
      <c r="H642" s="1" t="s">
        <v>547</v>
      </c>
      <c r="I642" s="1" t="str">
        <f t="shared" si="50"/>
        <v xml:space="preserve">3500-strieborná </v>
      </c>
    </row>
    <row r="643" spans="1:9" ht="15" customHeight="1" thickBot="1">
      <c r="A643" s="62">
        <f t="shared" si="51"/>
        <v>180325</v>
      </c>
      <c r="B643" s="52"/>
      <c r="C643" s="1" t="str">
        <f t="shared" si="49"/>
        <v xml:space="preserve">4300-strieborná </v>
      </c>
      <c r="D643" s="53">
        <v>180325</v>
      </c>
      <c r="E643" s="52" t="str">
        <f>+VLOOKUP(A643,cennik!$A:$G,2,FALSE)</f>
        <v>SEVROLL-SPODNÉ VED. MAXIM II 4,3M STR.</v>
      </c>
      <c r="F643" s="52" t="str">
        <f>+VLOOKUP(A643,cennik!A:B,2,FALSE)</f>
        <v>SEVROLL-SPODNÉ VED. MAXIM II 4,3M STR.</v>
      </c>
      <c r="H643" s="1" t="s">
        <v>548</v>
      </c>
      <c r="I643" s="1" t="str">
        <f t="shared" si="50"/>
        <v xml:space="preserve">4300-strieborná </v>
      </c>
    </row>
    <row r="644" spans="1:9" ht="15" customHeight="1" thickBot="1">
      <c r="A644" s="62">
        <f t="shared" si="51"/>
        <v>180414</v>
      </c>
      <c r="B644" s="52"/>
      <c r="C644" s="1" t="str">
        <f t="shared" si="49"/>
        <v xml:space="preserve">6000-strieborná </v>
      </c>
      <c r="D644" s="53">
        <v>180414</v>
      </c>
      <c r="E644" s="52" t="str">
        <f>+VLOOKUP(A644,cennik!$A:$G,2,FALSE)</f>
        <v>SEVROLL-SPODNÉ VED. MAXIM II 6M STR.</v>
      </c>
      <c r="F644" s="52" t="str">
        <f>+VLOOKUP(A644,cennik!A:B,2,FALSE)</f>
        <v>SEVROLL-SPODNÉ VED. MAXIM II 6M STR.</v>
      </c>
      <c r="H644" s="184">
        <v>6000</v>
      </c>
      <c r="I644" s="1" t="str">
        <f t="shared" si="50"/>
        <v xml:space="preserve">6000-strieborná </v>
      </c>
    </row>
    <row r="645" spans="1:9" ht="15" customHeight="1">
      <c r="A645" s="62">
        <f t="shared" si="51"/>
        <v>102820</v>
      </c>
      <c r="B645" s="52" t="s">
        <v>136</v>
      </c>
      <c r="C645" s="1" t="str">
        <f t="shared" si="49"/>
        <v xml:space="preserve">1800-strieborná </v>
      </c>
      <c r="D645" s="53">
        <v>102820</v>
      </c>
      <c r="E645" s="52" t="str">
        <f>+VLOOKUP(A645,cennik!$A:$G,2,FALSE)</f>
        <v>SEVROLL-MAXIM VOD.LIŠTA 1,8 M STRIEBORNA</v>
      </c>
      <c r="F645" s="52" t="str">
        <f>+VLOOKUP(A645,cennik!A:B,2,FALSE)</f>
        <v>SEVROLL-MAXIM VOD.LIŠTA 1,8 M STRIEBORNA</v>
      </c>
      <c r="H645" s="1" t="s">
        <v>545</v>
      </c>
      <c r="I645" s="1" t="str">
        <f t="shared" si="50"/>
        <v xml:space="preserve">1800-strieborná </v>
      </c>
    </row>
    <row r="646" spans="1:9" ht="15" customHeight="1">
      <c r="A646" s="62">
        <f t="shared" si="51"/>
        <v>102822</v>
      </c>
      <c r="B646" s="52"/>
      <c r="C646" s="1" t="str">
        <f t="shared" si="49"/>
        <v xml:space="preserve">2500-strieborná </v>
      </c>
      <c r="D646" s="53">
        <v>102822</v>
      </c>
      <c r="E646" s="52" t="str">
        <f>+VLOOKUP(A646,cennik!$A:$G,2,FALSE)</f>
        <v>SEVROLL Maxim vod. Lišta 2,5m strieborná</v>
      </c>
      <c r="F646" s="52" t="str">
        <f>+VLOOKUP(A646,cennik!A:B,2,FALSE)</f>
        <v>SEVROLL Maxim vod. Lišta 2,5m strieborná</v>
      </c>
      <c r="H646" s="1" t="s">
        <v>546</v>
      </c>
      <c r="I646" s="1" t="str">
        <f t="shared" si="50"/>
        <v xml:space="preserve">2500-strieborná </v>
      </c>
    </row>
    <row r="647" spans="1:9" ht="15" customHeight="1">
      <c r="A647" s="62">
        <f t="shared" si="51"/>
        <v>102824</v>
      </c>
      <c r="B647" s="52"/>
      <c r="C647" s="1" t="str">
        <f t="shared" si="49"/>
        <v xml:space="preserve">3500-strieborná </v>
      </c>
      <c r="D647" s="53">
        <v>102824</v>
      </c>
      <c r="E647" s="52" t="str">
        <f>+VLOOKUP(A647,cennik!$A:$G,2,FALSE)</f>
        <v>SEVROLL-MAXIM VOD.LIŠTA 3,5 M STRIEBORNA</v>
      </c>
      <c r="F647" s="52" t="str">
        <f>+VLOOKUP(A647,cennik!A:B,2,FALSE)</f>
        <v>SEVROLL-MAXIM VOD.LIŠTA 3,5 M STRIEBORNA</v>
      </c>
      <c r="H647" s="1" t="s">
        <v>547</v>
      </c>
      <c r="I647" s="1" t="str">
        <f t="shared" si="50"/>
        <v xml:space="preserve">3500-strieborná </v>
      </c>
    </row>
    <row r="648" spans="1:9" ht="15" customHeight="1" thickBot="1">
      <c r="A648" s="62">
        <f t="shared" si="51"/>
        <v>102825</v>
      </c>
      <c r="B648" s="52"/>
      <c r="C648" s="1" t="str">
        <f t="shared" si="49"/>
        <v xml:space="preserve">4300-strieborná </v>
      </c>
      <c r="D648" s="53">
        <v>102825</v>
      </c>
      <c r="E648" s="52" t="str">
        <f>+VLOOKUP(A648,cennik!$A:$G,2,FALSE)</f>
        <v>SEVROLL-MAXIM VOD.LIŠTA 4,3 M STRIEBORNA</v>
      </c>
      <c r="F648" s="52" t="str">
        <f>+VLOOKUP(A648,cennik!A:B,2,FALSE)</f>
        <v>SEVROLL-MAXIM VOD.LIŠTA 4,3 M STRIEBORNA</v>
      </c>
      <c r="H648" s="1" t="s">
        <v>548</v>
      </c>
      <c r="I648" s="1" t="str">
        <f t="shared" si="50"/>
        <v xml:space="preserve">4300-strieborná </v>
      </c>
    </row>
    <row r="649" spans="1:9" ht="15" customHeight="1" thickBot="1">
      <c r="A649" s="62">
        <f t="shared" si="51"/>
        <v>180419</v>
      </c>
      <c r="B649" s="52"/>
      <c r="C649" s="1" t="str">
        <f t="shared" si="49"/>
        <v xml:space="preserve">6000-strieborná </v>
      </c>
      <c r="D649" s="53">
        <v>180419</v>
      </c>
      <c r="E649" s="52" t="str">
        <f>+VLOOKUP(A649,cennik!$A:$G,2,FALSE)</f>
        <v>SEVROLL-MAXIM VOD.LIŠTA 6 M STRIERBOR.</v>
      </c>
      <c r="F649" s="52" t="str">
        <f>+VLOOKUP(A649,cennik!A:B,2,FALSE)</f>
        <v>SEVROLL-MAXIM VOD.LIŠTA 6 M STRIERBOR.</v>
      </c>
      <c r="H649" s="184">
        <v>6000</v>
      </c>
      <c r="I649" s="1" t="str">
        <f t="shared" si="50"/>
        <v xml:space="preserve">6000-strieborná </v>
      </c>
    </row>
    <row r="650" spans="1:9" ht="15" customHeight="1">
      <c r="A650" s="62">
        <f t="shared" si="51"/>
        <v>180415</v>
      </c>
      <c r="B650" s="52" t="s">
        <v>757</v>
      </c>
      <c r="C650" s="1" t="str">
        <f t="shared" si="49"/>
        <v xml:space="preserve">1800-strieborná </v>
      </c>
      <c r="D650" s="53">
        <v>180415</v>
      </c>
      <c r="E650" s="52" t="str">
        <f>+VLOOKUP(A650,cennik!$A:$G,2,FALSE)</f>
        <v>SEVROLL-MAXIM II MASKA 1,8 M strieborná</v>
      </c>
      <c r="F650" s="52" t="str">
        <f>+VLOOKUP(A650,cennik!A:B,2,FALSE)</f>
        <v>SEVROLL-MAXIM II MASKA 1,8 M strieborná</v>
      </c>
      <c r="H650" s="1" t="s">
        <v>545</v>
      </c>
      <c r="I650" s="1" t="str">
        <f t="shared" si="50"/>
        <v xml:space="preserve">1800-strieborná </v>
      </c>
    </row>
    <row r="651" spans="1:9" ht="15" customHeight="1">
      <c r="A651" s="62">
        <f t="shared" si="51"/>
        <v>180416</v>
      </c>
      <c r="B651" s="52"/>
      <c r="C651" s="1" t="str">
        <f t="shared" si="49"/>
        <v xml:space="preserve">2500-strieborná </v>
      </c>
      <c r="D651" s="53">
        <v>180416</v>
      </c>
      <c r="E651" s="52" t="str">
        <f>+VLOOKUP(A651,cennik!$A:$G,2,FALSE)</f>
        <v>SEVROLL Maxim II maska 2,5m strieborná</v>
      </c>
      <c r="F651" s="52" t="str">
        <f>+VLOOKUP(A651,cennik!A:B,2,FALSE)</f>
        <v>SEVROLL Maxim II maska 2,5m strieborná</v>
      </c>
      <c r="H651" s="1" t="s">
        <v>546</v>
      </c>
      <c r="I651" s="1" t="str">
        <f t="shared" si="50"/>
        <v xml:space="preserve">2500-strieborná </v>
      </c>
    </row>
    <row r="652" spans="1:9" ht="15" customHeight="1">
      <c r="A652" s="62">
        <f t="shared" si="51"/>
        <v>180326</v>
      </c>
      <c r="B652" s="52"/>
      <c r="C652" s="1" t="str">
        <f t="shared" si="49"/>
        <v xml:space="preserve">3500-strieborná </v>
      </c>
      <c r="D652" s="53">
        <v>180326</v>
      </c>
      <c r="E652" s="52" t="str">
        <f>+VLOOKUP(A652,cennik!$A:$G,2,FALSE)</f>
        <v>SEVROLL-MAXIM II MASKA 3,5 M strieborná</v>
      </c>
      <c r="F652" s="52" t="str">
        <f>+VLOOKUP(A652,cennik!A:B,2,FALSE)</f>
        <v>SEVROLL-MAXIM II MASKA 3,5 M strieborná</v>
      </c>
      <c r="H652" s="1" t="s">
        <v>547</v>
      </c>
      <c r="I652" s="1" t="str">
        <f t="shared" si="50"/>
        <v xml:space="preserve">3500-strieborná </v>
      </c>
    </row>
    <row r="653" spans="1:9" ht="15" customHeight="1">
      <c r="A653" s="62">
        <f t="shared" si="51"/>
        <v>163151</v>
      </c>
      <c r="B653" s="52"/>
      <c r="C653" s="1" t="str">
        <f t="shared" si="49"/>
        <v xml:space="preserve">4300-strieborná </v>
      </c>
      <c r="D653" s="53">
        <v>163151</v>
      </c>
      <c r="E653" s="52" t="str">
        <f>+VLOOKUP(A653,cennik!$A:$G,2,FALSE)</f>
        <v>SEVROLL Maxim II maska 4,3m strieborná</v>
      </c>
      <c r="F653" s="52" t="str">
        <f>+VLOOKUP(A653,cennik!A:B,2,FALSE)</f>
        <v>SEVROLL Maxim II maska 4,3m strieborná</v>
      </c>
      <c r="H653" s="1" t="s">
        <v>548</v>
      </c>
      <c r="I653" s="1" t="str">
        <f t="shared" si="50"/>
        <v xml:space="preserve">4300-strieborná </v>
      </c>
    </row>
    <row r="654" spans="1:9" ht="15" customHeight="1">
      <c r="A654" s="62">
        <f t="shared" si="51"/>
        <v>180418</v>
      </c>
      <c r="B654" s="52"/>
      <c r="C654" s="1" t="str">
        <f t="shared" si="49"/>
        <v xml:space="preserve">6000-strieborná </v>
      </c>
      <c r="D654" s="53">
        <v>180418</v>
      </c>
      <c r="E654" s="52" t="str">
        <f>+VLOOKUP(A654,cennik!$A:$G,2,FALSE)</f>
        <v>SEVROLL-MAXIM II MASKA 6 M strieborná</v>
      </c>
      <c r="F654" s="52" t="str">
        <f>+VLOOKUP(A654,cennik!A:B,2,FALSE)</f>
        <v>SEVROLL-MAXIM II MASKA 6 M strieborná</v>
      </c>
      <c r="H654" s="185">
        <v>6000</v>
      </c>
      <c r="I654" s="1" t="str">
        <f t="shared" si="50"/>
        <v xml:space="preserve">6000-strieborná </v>
      </c>
    </row>
    <row r="655" spans="1:9" ht="15" customHeight="1">
      <c r="A655" s="62">
        <f t="shared" si="51"/>
        <v>102827</v>
      </c>
      <c r="B655" s="52" t="s">
        <v>137</v>
      </c>
      <c r="C655" s="1" t="str">
        <f t="shared" si="49"/>
        <v xml:space="preserve">1800-strieborná </v>
      </c>
      <c r="D655" s="53">
        <v>102827</v>
      </c>
      <c r="E655" s="52" t="str">
        <f>+VLOOKUP(A655,cennik!$A:$G,2,FALSE)</f>
        <v>SEVROLL Maxim spod.krycia lišta 1,8m strieborná</v>
      </c>
      <c r="F655" s="52" t="str">
        <f>+VLOOKUP(A655,cennik!A:B,2,FALSE)</f>
        <v>SEVROLL Maxim spod.krycia lišta 1,8m strieborná</v>
      </c>
      <c r="H655" s="1" t="s">
        <v>545</v>
      </c>
      <c r="I655" s="1" t="str">
        <f t="shared" si="50"/>
        <v xml:space="preserve">1800-strieborná </v>
      </c>
    </row>
    <row r="656" spans="1:9" ht="15" customHeight="1">
      <c r="A656" s="62">
        <f t="shared" si="51"/>
        <v>102828</v>
      </c>
      <c r="B656" s="52"/>
      <c r="C656" s="1" t="str">
        <f t="shared" si="49"/>
        <v xml:space="preserve">2500-strieborná </v>
      </c>
      <c r="D656" s="53">
        <v>102828</v>
      </c>
      <c r="E656" s="52" t="str">
        <f>+VLOOKUP(A656,cennik!$A:$G,2,FALSE)</f>
        <v>SEVROLL Maxim spod.krycia lišta 2,5m strieborná</v>
      </c>
      <c r="F656" s="52" t="str">
        <f>+VLOOKUP(A656,cennik!A:B,2,FALSE)</f>
        <v>SEVROLL Maxim spod.krycia lišta 2,5m strieborná</v>
      </c>
      <c r="H656" s="1" t="s">
        <v>546</v>
      </c>
      <c r="I656" s="1" t="str">
        <f t="shared" si="50"/>
        <v xml:space="preserve">2500-strieborná </v>
      </c>
    </row>
    <row r="657" spans="1:14" ht="15" customHeight="1">
      <c r="A657" s="62">
        <f t="shared" si="51"/>
        <v>102830</v>
      </c>
      <c r="B657" s="52"/>
      <c r="C657" s="1" t="str">
        <f t="shared" si="49"/>
        <v xml:space="preserve">3500-strieborná </v>
      </c>
      <c r="D657" s="53">
        <v>102830</v>
      </c>
      <c r="E657" s="52" t="str">
        <f>+VLOOKUP(A657,cennik!$A:$G,2,FALSE)</f>
        <v>SEVROLL Maxim spod.krycia lišta 3,5m strieborná</v>
      </c>
      <c r="F657" s="52" t="str">
        <f>+VLOOKUP(A657,cennik!A:B,2,FALSE)</f>
        <v>SEVROLL Maxim spod.krycia lišta 3,5m strieborná</v>
      </c>
      <c r="H657" s="1" t="s">
        <v>547</v>
      </c>
      <c r="I657" s="1" t="str">
        <f t="shared" si="50"/>
        <v xml:space="preserve">3500-strieborná </v>
      </c>
    </row>
    <row r="658" spans="1:14" ht="15" customHeight="1">
      <c r="A658" s="62">
        <f t="shared" si="51"/>
        <v>102831</v>
      </c>
      <c r="B658" s="52"/>
      <c r="C658" s="1" t="str">
        <f t="shared" si="49"/>
        <v xml:space="preserve">4300-strieborná </v>
      </c>
      <c r="D658" s="53">
        <v>102831</v>
      </c>
      <c r="E658" s="52" t="str">
        <f>+VLOOKUP(A658,cennik!$A:$G,2,FALSE)</f>
        <v>SEVROLL Maxim spod.krycia lišta 4,3m strieborná</v>
      </c>
      <c r="F658" s="52" t="str">
        <f>+VLOOKUP(A658,cennik!A:B,2,FALSE)</f>
        <v>SEVROLL Maxim spod.krycia lišta 4,3m strieborná</v>
      </c>
      <c r="H658" s="1" t="s">
        <v>548</v>
      </c>
      <c r="I658" s="1" t="str">
        <f t="shared" si="50"/>
        <v xml:space="preserve">4300-strieborná </v>
      </c>
    </row>
    <row r="659" spans="1:14" ht="15" customHeight="1">
      <c r="A659" s="1">
        <f t="shared" si="51"/>
        <v>180420</v>
      </c>
      <c r="B659" s="52"/>
      <c r="C659" s="1" t="str">
        <f t="shared" si="49"/>
        <v xml:space="preserve">6000-strieborná </v>
      </c>
      <c r="D659" s="53">
        <v>180420</v>
      </c>
      <c r="E659" s="52" t="str">
        <f>+VLOOKUP(A659,cennik!$A:$G,2,FALSE)</f>
        <v>SEVROLL Maxim spod.krycia lišta 6m strieborn</v>
      </c>
      <c r="F659" s="52" t="str">
        <f>+VLOOKUP(A659,cennik!A:B,2,FALSE)</f>
        <v>SEVROLL Maxim spod.krycia lišta 6m strieborn</v>
      </c>
      <c r="H659" s="185">
        <v>6000</v>
      </c>
      <c r="I659" s="1" t="str">
        <f t="shared" si="50"/>
        <v xml:space="preserve">6000-strieborná </v>
      </c>
    </row>
    <row r="660" spans="1:14" ht="15" customHeight="1">
      <c r="A660" s="1">
        <f t="shared" si="51"/>
        <v>284540</v>
      </c>
      <c r="B660" s="52"/>
      <c r="D660" s="53">
        <v>284540</v>
      </c>
      <c r="E660" s="52" t="str">
        <f>+VLOOKUP(A660,cennik!$A:$G,2,FALSE)</f>
        <v>SEVROLL Maxim horní vozík 18mm asym 2ks</v>
      </c>
      <c r="F660" s="52" t="str">
        <f>+VLOOKUP(A660,cennik!A:B,2,FALSE)</f>
        <v>SEVROLL Maxim horní vozík 18mm asym 2ks</v>
      </c>
      <c r="H660" s="185"/>
      <c r="J660" s="170"/>
      <c r="K660" s="170"/>
      <c r="L660" s="170"/>
      <c r="M660" s="170"/>
      <c r="N660" s="170"/>
    </row>
    <row r="661" spans="1:14" ht="15" customHeight="1">
      <c r="A661" s="1">
        <f t="shared" si="51"/>
        <v>284539</v>
      </c>
      <c r="B661" s="52" t="s">
        <v>1465</v>
      </c>
      <c r="C661" s="1" t="str">
        <f>$J$4</f>
        <v xml:space="preserve">strieborná </v>
      </c>
      <c r="D661" s="53">
        <v>284539</v>
      </c>
      <c r="E661" s="52" t="str">
        <f>+VLOOKUP(A661,cennik!$A:$G,2,FALSE)</f>
        <v>SEVROLL Rex úchytová lišta 2,7m strieborná</v>
      </c>
      <c r="F661" s="52" t="str">
        <f>+VLOOKUP(A661,cennik!A:B,2,FALSE)</f>
        <v>SEVROLL Rex úchytová lišta 2,7m strieborná</v>
      </c>
      <c r="H661" s="185"/>
      <c r="I661" s="1" t="str">
        <f>$J$4</f>
        <v xml:space="preserve">strieborná </v>
      </c>
      <c r="J661" s="170"/>
      <c r="K661" s="170"/>
      <c r="L661" s="170"/>
      <c r="M661" s="170"/>
      <c r="N661" s="170"/>
    </row>
    <row r="662" spans="1:14" ht="15" customHeight="1">
      <c r="A662" s="161">
        <v>143983</v>
      </c>
      <c r="B662" s="52" t="s">
        <v>695</v>
      </c>
      <c r="C662" s="1" t="str">
        <f>$J$4</f>
        <v xml:space="preserve">strieborná </v>
      </c>
      <c r="D662" s="53">
        <v>143983</v>
      </c>
      <c r="E662" s="52" t="str">
        <f>+VLOOKUP(A662,cennik!$A:$G,2,FALSE)</f>
        <v>SEVROLL-ERGO 18 UCH.LIŠTA.2,70m STR.</v>
      </c>
      <c r="F662" s="52" t="str">
        <f>+VLOOKUP(A662,cennik!A:B,2,FALSE)</f>
        <v>SEVROLL-ERGO 18 UCH.LIŠTA.2,70m STR.</v>
      </c>
      <c r="I662" s="1" t="str">
        <f>$J$4</f>
        <v xml:space="preserve">strieborná </v>
      </c>
      <c r="J662" s="170"/>
      <c r="K662" s="170"/>
      <c r="L662" s="170"/>
      <c r="M662" s="170"/>
      <c r="N662" s="170"/>
    </row>
    <row r="663" spans="1:14" ht="15" customHeight="1">
      <c r="A663" s="161">
        <v>143984</v>
      </c>
      <c r="B663" s="52"/>
      <c r="C663" s="1" t="str">
        <f>$J$6</f>
        <v>oliva</v>
      </c>
      <c r="D663" s="53">
        <v>143984</v>
      </c>
      <c r="E663" s="52" t="str">
        <f>+VLOOKUP(A663,cennik!$A:$G,2,FALSE)</f>
        <v>SEVROLL-ERGO UCH.LIŠTA.2,70m OLIVOVÁ</v>
      </c>
      <c r="F663" s="52" t="str">
        <f>+VLOOKUP(A663,cennik!A:B,2,FALSE)</f>
        <v>SEVROLL-ERGO UCH.LIŠTA.2,70m OLIVOVÁ</v>
      </c>
      <c r="I663" s="1" t="str">
        <f>$J$6</f>
        <v>oliva</v>
      </c>
      <c r="J663" s="170"/>
      <c r="K663" s="170"/>
      <c r="L663" s="170"/>
      <c r="M663" s="170"/>
      <c r="N663" s="170"/>
    </row>
    <row r="664" spans="1:14" ht="15" customHeight="1">
      <c r="A664" s="161">
        <v>179196</v>
      </c>
      <c r="B664" s="52" t="s">
        <v>1179</v>
      </c>
      <c r="C664" s="1" t="str">
        <f>$J$4</f>
        <v xml:space="preserve">strieborná </v>
      </c>
      <c r="D664" s="53">
        <v>179196</v>
      </c>
      <c r="E664" s="52" t="str">
        <f>+VLOOKUP(A664,cennik!$A:$G,2,FALSE)</f>
        <v>SEVROLL Faworyt II úch.lišta 2,7m strieborná</v>
      </c>
      <c r="F664" s="52" t="str">
        <f>+VLOOKUP(A664,cennik!A:B,2,FALSE)</f>
        <v>SEVROLL Faworyt II úch.lišta 2,7m strieborná</v>
      </c>
      <c r="I664" s="1" t="str">
        <f>$J$4</f>
        <v xml:space="preserve">strieborná </v>
      </c>
      <c r="J664" s="170"/>
      <c r="K664" s="170"/>
      <c r="L664" s="170"/>
      <c r="M664" s="170"/>
      <c r="N664" s="170"/>
    </row>
    <row r="665" spans="1:14" ht="15" customHeight="1">
      <c r="A665" s="1">
        <v>452601</v>
      </c>
      <c r="C665" s="1" t="str">
        <f>$J$17</f>
        <v>čierna mat</v>
      </c>
      <c r="D665" s="1">
        <v>452601</v>
      </c>
      <c r="E665" s="52" t="str">
        <f>+VLOOKUP(A665,cennik!$A:$G,2,FALSE)</f>
        <v>SEVROLL Faworyt II úchytová liš.2,7m čierna mat</v>
      </c>
      <c r="F665" s="52" t="str">
        <f>+VLOOKUP(A665,cennik!A:B,2,FALSE)</f>
        <v>SEVROLL Faworyt II úchytová liš.2,7m čierna mat</v>
      </c>
      <c r="I665" s="1" t="str">
        <f>$J$17</f>
        <v>čierna mat</v>
      </c>
      <c r="J665" s="170"/>
      <c r="K665" s="170"/>
      <c r="L665" s="170"/>
      <c r="M665" s="170"/>
      <c r="N665" s="170"/>
    </row>
    <row r="666" spans="1:14" ht="15" customHeight="1">
      <c r="A666" s="577">
        <v>276742</v>
      </c>
      <c r="B666" s="578"/>
      <c r="C666" s="1" t="str">
        <f>$J$18</f>
        <v>biela mat</v>
      </c>
      <c r="D666" s="577">
        <v>276742</v>
      </c>
      <c r="E666" s="52" t="str">
        <f>+VLOOKUP(A666,cennik!$A:$G,2,FALSE)</f>
        <v>SEVROLL Faworyt II úchytová liš.2,7m RAL9003</v>
      </c>
      <c r="F666" s="52" t="str">
        <f>+VLOOKUP(A666,cennik!A:B,2,FALSE)</f>
        <v>SEVROLL Faworyt II úchytová liš.2,7m RAL9003</v>
      </c>
      <c r="G666" s="578"/>
      <c r="H666" s="578"/>
      <c r="I666" s="1" t="str">
        <f>$J$18</f>
        <v>biela mat</v>
      </c>
      <c r="J666" s="170"/>
      <c r="K666" s="170"/>
      <c r="L666" s="170"/>
      <c r="M666" s="170"/>
      <c r="N666" s="170"/>
    </row>
    <row r="667" spans="1:14" ht="15" customHeight="1">
      <c r="A667" s="161">
        <v>135706</v>
      </c>
      <c r="B667" s="52"/>
      <c r="C667" s="1" t="str">
        <f>$J$6</f>
        <v>oliva</v>
      </c>
      <c r="D667" s="53">
        <v>135706</v>
      </c>
      <c r="E667" s="52" t="str">
        <f>+VLOOKUP(A667,cennik!$A:$G,2,FALSE)</f>
        <v>SEVROLL Faworyt II úchytová lišta 2,7m oliva</v>
      </c>
      <c r="F667" s="52" t="str">
        <f>+VLOOKUP(A667,cennik!A:B,2,FALSE)</f>
        <v>SEVROLL Faworyt II úchytová lišta 2,7m oliva</v>
      </c>
      <c r="I667" s="1" t="str">
        <f>$J$6</f>
        <v>oliva</v>
      </c>
      <c r="J667" s="170"/>
      <c r="K667" s="170"/>
      <c r="L667" s="170"/>
      <c r="M667" s="170"/>
      <c r="N667" s="170"/>
    </row>
    <row r="668" spans="1:14" ht="15" customHeight="1">
      <c r="A668" s="161">
        <f>D668</f>
        <v>252569</v>
      </c>
      <c r="B668" s="52"/>
      <c r="C668" s="1" t="str">
        <f>$J$15</f>
        <v>biela lesk</v>
      </c>
      <c r="D668" s="53">
        <v>252569</v>
      </c>
      <c r="E668" s="52" t="str">
        <f>+VLOOKUP(A668,cennik!$A:$G,2,FALSE)</f>
        <v>SEVROLL Faworyt II úch.liš.2,7m biela lesk</v>
      </c>
      <c r="F668" s="52" t="str">
        <f>+VLOOKUP(A668,cennik!A:B,2,FALSE)</f>
        <v>SEVROLL Faworyt II úch.liš.2,7m biela lesk</v>
      </c>
      <c r="I668" s="1" t="str">
        <f>J$15</f>
        <v>biela lesk</v>
      </c>
      <c r="J668" s="170"/>
      <c r="K668" s="170"/>
      <c r="L668" s="170"/>
      <c r="M668" s="170"/>
      <c r="N668" s="170"/>
    </row>
    <row r="669" spans="1:14" ht="15" customHeight="1">
      <c r="A669" s="62">
        <f t="shared" ref="A669:A674" si="52">+D669</f>
        <v>135552</v>
      </c>
      <c r="B669" s="52" t="s">
        <v>1215</v>
      </c>
      <c r="C669" s="1" t="str">
        <f>$J$4</f>
        <v xml:space="preserve">strieborná </v>
      </c>
      <c r="D669" s="53">
        <v>135552</v>
      </c>
      <c r="E669" s="52" t="str">
        <f>+VLOOKUP(A669,cennik!$A:$G,2,FALSE)</f>
        <v>SEVROLL Minicomfort II úch.lišta 2,7m str.</v>
      </c>
      <c r="F669" s="52" t="str">
        <f>+VLOOKUP(A669,cennik!A:B,2,FALSE)</f>
        <v>SEVROLL Minicomfort II úch.lišta 2,7m str.</v>
      </c>
      <c r="I669" s="1" t="str">
        <f>$J$4</f>
        <v xml:space="preserve">strieborná </v>
      </c>
      <c r="J669" s="170"/>
      <c r="K669" s="170"/>
      <c r="L669" s="170"/>
      <c r="M669" s="170"/>
      <c r="N669" s="170"/>
    </row>
    <row r="670" spans="1:14" ht="15" customHeight="1">
      <c r="A670" s="62">
        <f t="shared" si="52"/>
        <v>135553</v>
      </c>
      <c r="B670" s="52"/>
      <c r="C670" s="1" t="str">
        <f>$J$6</f>
        <v>oliva</v>
      </c>
      <c r="D670" s="53">
        <v>135553</v>
      </c>
      <c r="E670" s="52" t="str">
        <f>+VLOOKUP(A670,cennik!$A:$G,2,FALSE)</f>
        <v>SEVROLL Minicomfort II úchytová lišta 2,7m o</v>
      </c>
      <c r="F670" s="52" t="str">
        <f>+VLOOKUP(A670,cennik!A:B,2,FALSE)</f>
        <v>SEVROLL Minicomfort II úchytová lišta 2,7m o</v>
      </c>
      <c r="I670" s="1" t="str">
        <f>$J$6</f>
        <v>oliva</v>
      </c>
      <c r="J670" s="170"/>
      <c r="K670" s="170"/>
      <c r="L670" s="170"/>
      <c r="M670" s="170"/>
      <c r="N670" s="170"/>
    </row>
    <row r="671" spans="1:14" ht="15" customHeight="1">
      <c r="A671" s="62">
        <f t="shared" si="52"/>
        <v>135555</v>
      </c>
      <c r="B671" s="52" t="s">
        <v>1216</v>
      </c>
      <c r="C671" s="1" t="str">
        <f>$J$4</f>
        <v xml:space="preserve">strieborná </v>
      </c>
      <c r="D671" s="53">
        <v>135555</v>
      </c>
      <c r="E671" s="52" t="str">
        <f>+VLOOKUP(A671,cennik!$A:$G,2,FALSE)</f>
        <v>SEVROLL Comfort 18 II úch.lišta 2,7m str,</v>
      </c>
      <c r="F671" s="52" t="str">
        <f>+VLOOKUP(A671,cennik!A:B,2,FALSE)</f>
        <v>SEVROLL Comfort 18 II úch.lišta 2,7m str,</v>
      </c>
      <c r="I671" s="1" t="str">
        <f>$J$4</f>
        <v xml:space="preserve">strieborná </v>
      </c>
      <c r="J671" s="170"/>
      <c r="K671" s="170"/>
      <c r="L671" s="170"/>
      <c r="M671" s="170"/>
      <c r="N671" s="170"/>
    </row>
    <row r="672" spans="1:14" ht="15" customHeight="1">
      <c r="A672" s="62">
        <f t="shared" si="52"/>
        <v>135556</v>
      </c>
      <c r="B672" s="52"/>
      <c r="C672" s="1" t="str">
        <f>$J$6</f>
        <v>oliva</v>
      </c>
      <c r="D672" s="53">
        <v>135556</v>
      </c>
      <c r="E672" s="52" t="str">
        <f>+VLOOKUP(A672,cennik!$A:$G,2,FALSE)</f>
        <v>SEVROLL Comfor 18 II úchytová lišta 2,7m oli</v>
      </c>
      <c r="F672" s="52" t="str">
        <f>+VLOOKUP(A672,cennik!A:B,2,FALSE)</f>
        <v>SEVROLL Comfor 18 II úchytová lišta 2,7m oli</v>
      </c>
      <c r="I672" s="1" t="str">
        <f>$J$6</f>
        <v>oliva</v>
      </c>
      <c r="J672" s="170"/>
      <c r="K672" s="170"/>
      <c r="L672" s="170"/>
      <c r="M672" s="170"/>
      <c r="N672" s="170"/>
    </row>
    <row r="673" spans="1:14" ht="15" customHeight="1">
      <c r="A673" s="62">
        <f t="shared" si="52"/>
        <v>135684</v>
      </c>
      <c r="B673" s="52" t="s">
        <v>1217</v>
      </c>
      <c r="C673" s="1" t="str">
        <f>$J$4</f>
        <v xml:space="preserve">strieborná </v>
      </c>
      <c r="D673" s="53">
        <v>135684</v>
      </c>
      <c r="E673" s="52" t="str">
        <f>+VLOOKUP(A673,cennik!$A:$G,2,FALSE)</f>
        <v>SEVROLL Unicomfort II úch.lišta 2,7m str.</v>
      </c>
      <c r="F673" s="52" t="str">
        <f>+VLOOKUP(A673,cennik!A:B,2,FALSE)</f>
        <v>SEVROLL Unicomfort II úch.lišta 2,7m str.</v>
      </c>
      <c r="I673" s="1" t="str">
        <f>$J$4</f>
        <v xml:space="preserve">strieborná </v>
      </c>
      <c r="J673" s="170"/>
      <c r="K673" s="170"/>
      <c r="L673" s="170"/>
      <c r="M673" s="170"/>
      <c r="N673" s="170"/>
    </row>
    <row r="674" spans="1:14" ht="15" customHeight="1">
      <c r="A674" s="62">
        <f t="shared" si="52"/>
        <v>135685</v>
      </c>
      <c r="B674" s="52"/>
      <c r="C674" s="1" t="str">
        <f>$J$6</f>
        <v>oliva</v>
      </c>
      <c r="D674" s="53">
        <v>135685</v>
      </c>
      <c r="E674" s="52" t="str">
        <f>+VLOOKUP(A674,cennik!$A:$G,2,FALSE)</f>
        <v>SEVROLL Unicomfort II úchytová lišta 2,7m ol</v>
      </c>
      <c r="F674" s="52" t="str">
        <f>+VLOOKUP(A674,cennik!A:B,2,FALSE)</f>
        <v>SEVROLL Unicomfort II úchytová lišta 2,7m ol</v>
      </c>
      <c r="I674" s="1" t="str">
        <f>$J$6</f>
        <v>oliva</v>
      </c>
      <c r="J674" s="170"/>
      <c r="K674" s="170"/>
      <c r="L674" s="170"/>
      <c r="M674" s="170"/>
      <c r="N674" s="170"/>
    </row>
    <row r="675" spans="1:14" ht="15" customHeight="1">
      <c r="A675" s="170">
        <f t="shared" ref="A675:A694" si="53">+D675</f>
        <v>233428</v>
      </c>
      <c r="B675" s="52" t="s">
        <v>732</v>
      </c>
      <c r="C675" s="170" t="str">
        <f>$J$4</f>
        <v xml:space="preserve">strieborná </v>
      </c>
      <c r="D675" s="16">
        <v>233428</v>
      </c>
      <c r="E675" s="52" t="str">
        <f>+VLOOKUP(A675,cennik!$A:$G,2,FALSE)</f>
        <v>ASTIN Fiona II úch.lišta 2,7m strieborná</v>
      </c>
      <c r="F675" s="52" t="str">
        <f>+VLOOKUP(A675,cennik!A:B,2,FALSE)</f>
        <v>ASTIN Fiona II úch.lišta 2,7m strieborná</v>
      </c>
      <c r="G675" s="170"/>
      <c r="H675" s="170"/>
      <c r="I675" s="170" t="str">
        <f>$J$4</f>
        <v xml:space="preserve">strieborná </v>
      </c>
    </row>
    <row r="676" spans="1:14" ht="15" customHeight="1">
      <c r="A676" s="170">
        <f t="shared" si="53"/>
        <v>98002</v>
      </c>
      <c r="B676" s="52" t="s">
        <v>729</v>
      </c>
      <c r="C676" s="170" t="str">
        <f>$J$4</f>
        <v xml:space="preserve">strieborná </v>
      </c>
      <c r="D676" s="53">
        <v>98002</v>
      </c>
      <c r="E676" s="52" t="str">
        <f>+VLOOKUP(A676,cennik!$A:$G,2,FALSE)</f>
        <v>ASTIN Orient úch.lišta 2,7m str. (32/1)</v>
      </c>
      <c r="F676" s="52" t="str">
        <f>+VLOOKUP(A676,cennik!A:B,2,FALSE)</f>
        <v>ASTIN Orient úch.lišta 2,7m str. (32/1)</v>
      </c>
      <c r="G676" s="170"/>
      <c r="H676" s="170"/>
      <c r="I676" s="170" t="str">
        <f>$J$4</f>
        <v xml:space="preserve">strieborná </v>
      </c>
    </row>
    <row r="677" spans="1:14" ht="15" customHeight="1">
      <c r="A677" s="170">
        <f t="shared" si="53"/>
        <v>98001</v>
      </c>
      <c r="B677" s="52" t="s">
        <v>733</v>
      </c>
      <c r="C677" s="170" t="str">
        <f>$J$4</f>
        <v xml:space="preserve">strieborná </v>
      </c>
      <c r="D677" s="53">
        <v>98001</v>
      </c>
      <c r="E677" s="52" t="str">
        <f>+VLOOKUP(A677,cennik!$A:$G,2,FALSE)</f>
        <v>ASTIN Elegant úch.lišta 2,7m str. (22/1)</v>
      </c>
      <c r="F677" s="52" t="str">
        <f>+VLOOKUP(A677,cennik!A:B,2,FALSE)</f>
        <v>ASTIN Elegant úch.lišta 2,7m str. (22/1)</v>
      </c>
      <c r="G677" s="170"/>
      <c r="H677" s="170"/>
      <c r="I677" s="170" t="str">
        <f>$J$4</f>
        <v xml:space="preserve">strieborná </v>
      </c>
    </row>
    <row r="678" spans="1:14" ht="15" customHeight="1">
      <c r="A678" s="170">
        <f t="shared" si="53"/>
        <v>98003</v>
      </c>
      <c r="B678" s="52" t="s">
        <v>734</v>
      </c>
      <c r="C678" s="170" t="str">
        <f t="shared" ref="C678:C686" si="54">CONCATENATE(H678,"-",$J$4)</f>
        <v xml:space="preserve">1800-strieborná </v>
      </c>
      <c r="D678" s="53">
        <v>98003</v>
      </c>
      <c r="E678" s="52" t="str">
        <f>+VLOOKUP(A678,cennik!$A:$G,2,FALSE)</f>
        <v>JOKER-HORNÝ PROFIL 1,8M HLINÍK (32/1)</v>
      </c>
      <c r="F678" s="52" t="str">
        <f>+VLOOKUP(A678,cennik!A:B,2,FALSE)</f>
        <v>JOKER-HORNÝ PROFIL 1,8M HLINÍK (32/1)</v>
      </c>
      <c r="G678" s="170"/>
      <c r="H678" s="170">
        <v>1800</v>
      </c>
      <c r="I678" s="170" t="str">
        <f>CONCATENATE(H678,"-",$J$4)</f>
        <v xml:space="preserve">1800-strieborná </v>
      </c>
    </row>
    <row r="679" spans="1:14" ht="15" customHeight="1">
      <c r="A679" s="170">
        <f t="shared" si="53"/>
        <v>98004</v>
      </c>
      <c r="B679" s="52"/>
      <c r="C679" s="170" t="str">
        <f t="shared" si="54"/>
        <v xml:space="preserve">2700-strieborná </v>
      </c>
      <c r="D679" s="53">
        <v>98004</v>
      </c>
      <c r="E679" s="52" t="str">
        <f>+VLOOKUP(A679,cennik!$A:$G,2,FALSE)</f>
        <v>JOKER-HORNÝ PROFIL 2,7M HLINÍK (32/1)</v>
      </c>
      <c r="F679" s="52" t="str">
        <f>+VLOOKUP(A679,cennik!A:B,2,FALSE)</f>
        <v>JOKER-HORNÝ PROFIL 2,7M HLINÍK (32/1)</v>
      </c>
      <c r="G679" s="170"/>
      <c r="H679" s="170">
        <v>2700</v>
      </c>
      <c r="I679" s="170" t="str">
        <f t="shared" ref="I679:I692" si="55">CONCATENATE(H679,"-",$J$4)</f>
        <v xml:space="preserve">2700-strieborná </v>
      </c>
    </row>
    <row r="680" spans="1:14" ht="15" customHeight="1">
      <c r="A680" s="170">
        <f t="shared" si="53"/>
        <v>98005</v>
      </c>
      <c r="B680" s="52"/>
      <c r="C680" s="170" t="str">
        <f t="shared" si="54"/>
        <v xml:space="preserve">3600-strieborná </v>
      </c>
      <c r="D680" s="53">
        <v>98005</v>
      </c>
      <c r="E680" s="52" t="str">
        <f>+VLOOKUP(A680,cennik!$A:$G,2,FALSE)</f>
        <v>JOKER-HORNÝ PROFIL 3,6M HLINÍK (32/1)</v>
      </c>
      <c r="F680" s="52" t="str">
        <f>+VLOOKUP(A680,cennik!A:B,2,FALSE)</f>
        <v>JOKER-HORNÝ PROFIL 3,6M HLINÍK (32/1)</v>
      </c>
      <c r="G680" s="170"/>
      <c r="H680" s="170">
        <v>3600</v>
      </c>
      <c r="I680" s="170" t="str">
        <f t="shared" si="55"/>
        <v xml:space="preserve">3600-strieborná </v>
      </c>
    </row>
    <row r="681" spans="1:14" ht="15" customHeight="1">
      <c r="A681" s="170">
        <f t="shared" si="53"/>
        <v>98007</v>
      </c>
      <c r="B681" s="52" t="s">
        <v>735</v>
      </c>
      <c r="C681" s="170" t="str">
        <f t="shared" si="54"/>
        <v xml:space="preserve">1800-strieborná </v>
      </c>
      <c r="D681" s="53">
        <v>98007</v>
      </c>
      <c r="E681" s="52" t="str">
        <f>+VLOOKUP(A681,cennik!$A:$G,2,FALSE)</f>
        <v>JOKER-SPODNÝ PROFIL 1,8M HLINÍK (22/1)</v>
      </c>
      <c r="F681" s="52" t="str">
        <f>+VLOOKUP(A681,cennik!A:B,2,FALSE)</f>
        <v>JOKER-SPODNÝ PROFIL 1,8M HLINÍK (22/1)</v>
      </c>
      <c r="G681" s="170"/>
      <c r="H681" s="170">
        <v>1800</v>
      </c>
      <c r="I681" s="170" t="str">
        <f t="shared" si="55"/>
        <v xml:space="preserve">1800-strieborná </v>
      </c>
    </row>
    <row r="682" spans="1:14" s="557" customFormat="1" ht="15" customHeight="1">
      <c r="A682" s="170">
        <f t="shared" si="53"/>
        <v>98008</v>
      </c>
      <c r="B682" s="52"/>
      <c r="C682" s="170" t="str">
        <f t="shared" si="54"/>
        <v xml:space="preserve">2700-strieborná </v>
      </c>
      <c r="D682" s="53">
        <v>98008</v>
      </c>
      <c r="E682" s="52" t="str">
        <f>+VLOOKUP(A682,cennik!$A:$G,2,FALSE)</f>
        <v>JOKER-SPODNÝ PROFIL 2,7M HLINÍK (22/1)</v>
      </c>
      <c r="F682" s="52" t="str">
        <f>+VLOOKUP(A682,cennik!A:B,2,FALSE)</f>
        <v>JOKER-SPODNÝ PROFIL 2,7M HLINÍK (22/1)</v>
      </c>
      <c r="G682" s="170"/>
      <c r="H682" s="170">
        <v>2700</v>
      </c>
      <c r="I682" s="170" t="str">
        <f t="shared" si="55"/>
        <v xml:space="preserve">2700-strieborná </v>
      </c>
    </row>
    <row r="683" spans="1:14" s="557" customFormat="1" ht="15" customHeight="1">
      <c r="A683" s="170">
        <f t="shared" si="53"/>
        <v>98009</v>
      </c>
      <c r="B683" s="52"/>
      <c r="C683" s="170" t="str">
        <f t="shared" si="54"/>
        <v xml:space="preserve">3600-strieborná </v>
      </c>
      <c r="D683" s="53">
        <v>98009</v>
      </c>
      <c r="E683" s="52" t="str">
        <f>+VLOOKUP(A683,cennik!$A:$G,2,FALSE)</f>
        <v>JOKER-SPODNÝ PROFIL 3,6M HLINÍK (22/1)</v>
      </c>
      <c r="F683" s="52" t="str">
        <f>+VLOOKUP(A683,cennik!A:B,2,FALSE)</f>
        <v>JOKER-SPODNÝ PROFIL 3,6M HLINÍK (22/1)</v>
      </c>
      <c r="G683" s="170"/>
      <c r="H683" s="170">
        <v>3600</v>
      </c>
      <c r="I683" s="170" t="str">
        <f t="shared" si="55"/>
        <v xml:space="preserve">3600-strieborná </v>
      </c>
    </row>
    <row r="684" spans="1:14" s="557" customFormat="1" ht="15" customHeight="1">
      <c r="A684" s="170">
        <f t="shared" si="53"/>
        <v>98011</v>
      </c>
      <c r="B684" s="52" t="s">
        <v>736</v>
      </c>
      <c r="C684" s="170" t="str">
        <f t="shared" si="54"/>
        <v xml:space="preserve">1800-strieborná </v>
      </c>
      <c r="D684" s="53">
        <v>98011</v>
      </c>
      <c r="E684" s="52" t="str">
        <f>+VLOOKUP(A684,cennik!$A:$G,2,FALSE)</f>
        <v>JOKER-UHOLNÍK 1,8M HLINÍK (22/1)</v>
      </c>
      <c r="F684" s="52" t="str">
        <f>+VLOOKUP(A684,cennik!A:B,2,FALSE)</f>
        <v>JOKER-UHOLNÍK 1,8M HLINÍK (22/1)</v>
      </c>
      <c r="G684" s="170"/>
      <c r="H684" s="170">
        <v>1800</v>
      </c>
      <c r="I684" s="170" t="str">
        <f t="shared" si="55"/>
        <v xml:space="preserve">1800-strieborná </v>
      </c>
    </row>
    <row r="685" spans="1:14" s="557" customFormat="1" ht="15" customHeight="1">
      <c r="A685" s="170">
        <f t="shared" si="53"/>
        <v>98012</v>
      </c>
      <c r="B685" s="52"/>
      <c r="C685" s="170" t="str">
        <f t="shared" si="54"/>
        <v xml:space="preserve">2700-strieborná </v>
      </c>
      <c r="D685" s="53">
        <v>98012</v>
      </c>
      <c r="E685" s="52" t="str">
        <f>+VLOOKUP(A685,cennik!$A:$G,2,FALSE)</f>
        <v>ASTIN UHOLNÍK 2,7M str. (22/1)</v>
      </c>
      <c r="F685" s="52" t="str">
        <f>+VLOOKUP(A685,cennik!A:B,2,FALSE)</f>
        <v>ASTIN UHOLNÍK 2,7M str. (22/1)</v>
      </c>
      <c r="G685" s="170"/>
      <c r="H685" s="170">
        <v>2700</v>
      </c>
      <c r="I685" s="170" t="str">
        <f t="shared" si="55"/>
        <v xml:space="preserve">2700-strieborná </v>
      </c>
    </row>
    <row r="686" spans="1:14" s="557" customFormat="1" ht="15" customHeight="1">
      <c r="A686" s="170">
        <f t="shared" si="53"/>
        <v>98013</v>
      </c>
      <c r="B686" s="52"/>
      <c r="C686" s="170" t="str">
        <f t="shared" si="54"/>
        <v xml:space="preserve">3600-strieborná </v>
      </c>
      <c r="D686" s="53">
        <v>98013</v>
      </c>
      <c r="E686" s="52" t="str">
        <f>+VLOOKUP(A686,cennik!$A:$G,2,FALSE)</f>
        <v>JOKER-UHOLNÍK 3,6M HLINÍK (22/1)</v>
      </c>
      <c r="F686" s="52" t="str">
        <f>+VLOOKUP(A686,cennik!A:B,2,FALSE)</f>
        <v>JOKER-UHOLNÍK 3,6M HLINÍK (22/1)</v>
      </c>
      <c r="G686" s="170"/>
      <c r="H686" s="170">
        <v>3600</v>
      </c>
      <c r="I686" s="170" t="str">
        <f t="shared" si="55"/>
        <v xml:space="preserve">3600-strieborná </v>
      </c>
    </row>
    <row r="687" spans="1:14" s="557" customFormat="1" ht="15" customHeight="1">
      <c r="A687" s="170">
        <f t="shared" si="53"/>
        <v>98015</v>
      </c>
      <c r="B687" s="52" t="s">
        <v>737</v>
      </c>
      <c r="C687" s="170" t="str">
        <f>$J$4</f>
        <v xml:space="preserve">strieborná </v>
      </c>
      <c r="D687" s="53">
        <v>98015</v>
      </c>
      <c r="E687" s="52" t="str">
        <f>+VLOOKUP(A687,cennik!$A:$G,2,FALSE)</f>
        <v>ASTIN spojovací H08 profil 3m strieborná</v>
      </c>
      <c r="F687" s="52" t="str">
        <f>+VLOOKUP(A687,cennik!A:B,2,FALSE)</f>
        <v>ASTIN spojovací H08 profil 3m strieborná</v>
      </c>
      <c r="G687" s="170"/>
      <c r="H687" s="170"/>
      <c r="I687" s="170" t="str">
        <f>$J$4</f>
        <v xml:space="preserve">strieborná </v>
      </c>
    </row>
    <row r="688" spans="1:14" s="557" customFormat="1" ht="15" customHeight="1">
      <c r="A688" s="170">
        <f t="shared" si="53"/>
        <v>213609</v>
      </c>
      <c r="B688" s="52"/>
      <c r="C688" s="170" t="str">
        <f>$J$4</f>
        <v xml:space="preserve">strieborná </v>
      </c>
      <c r="D688" s="53">
        <v>213609</v>
      </c>
      <c r="E688" s="52" t="str">
        <f>+VLOOKUP(A688,cennik!$A:$G,2,FALSE)</f>
        <v>SEVROLL Hide M spodné vedenie Hide M 3m stri</v>
      </c>
      <c r="F688" s="52" t="str">
        <f>+VLOOKUP(A688,cennik!A:B,2,FALSE)</f>
        <v>SEVROLL Hide M spodné vedenie Hide M 3m stri</v>
      </c>
      <c r="G688" s="1"/>
      <c r="H688" s="1">
        <v>3000</v>
      </c>
      <c r="I688" s="170" t="str">
        <f t="shared" si="55"/>
        <v xml:space="preserve">3000-strieborná </v>
      </c>
    </row>
    <row r="689" spans="1:9" s="557" customFormat="1" ht="15" customHeight="1">
      <c r="A689" s="170">
        <f t="shared" si="53"/>
        <v>197753</v>
      </c>
      <c r="B689" s="52"/>
      <c r="C689" s="170" t="str">
        <f>$J$4</f>
        <v xml:space="preserve">strieborná </v>
      </c>
      <c r="D689" s="53">
        <v>197753</v>
      </c>
      <c r="E689" s="52" t="str">
        <f>+VLOOKUP(A689,cennik!$A:$G,2,FALSE)</f>
        <v>SEVROLL Hide N spodné vedenie Hide N 3m stri</v>
      </c>
      <c r="F689" s="52" t="str">
        <f>+VLOOKUP(A689,cennik!A:B,2,FALSE)</f>
        <v>SEVROLL Hide N spodné vedenie Hide N 3m stri</v>
      </c>
      <c r="G689" s="1"/>
      <c r="H689" s="1">
        <v>3000</v>
      </c>
      <c r="I689" s="170" t="str">
        <f t="shared" si="55"/>
        <v xml:space="preserve">3000-strieborná </v>
      </c>
    </row>
    <row r="690" spans="1:9" s="557" customFormat="1" ht="15" customHeight="1">
      <c r="A690" s="170">
        <f t="shared" si="53"/>
        <v>223405</v>
      </c>
      <c r="B690" s="52"/>
      <c r="C690" s="170" t="str">
        <f>$J$6</f>
        <v>oliva</v>
      </c>
      <c r="D690" s="53">
        <v>223405</v>
      </c>
      <c r="E690" s="52" t="str">
        <f>+VLOOKUP(A690,cennik!$A:$G,2,FALSE)</f>
        <v>SEVROLL dolné vedenie Hide M 3m oliva</v>
      </c>
      <c r="F690" s="52" t="str">
        <f>+VLOOKUP(A690,cennik!A:B,2,FALSE)</f>
        <v>SEVROLL dolné vedenie Hide M 3m oliva</v>
      </c>
      <c r="G690" s="1"/>
      <c r="H690" s="1">
        <v>3000</v>
      </c>
      <c r="I690" s="170" t="str">
        <f t="shared" si="55"/>
        <v xml:space="preserve">3000-strieborná </v>
      </c>
    </row>
    <row r="691" spans="1:9" s="557" customFormat="1" ht="15" customHeight="1">
      <c r="A691" s="170">
        <f t="shared" si="53"/>
        <v>197755</v>
      </c>
      <c r="B691" s="52"/>
      <c r="C691" s="170" t="str">
        <f>$J$6</f>
        <v>oliva</v>
      </c>
      <c r="D691" s="53">
        <v>197755</v>
      </c>
      <c r="E691" s="52" t="str">
        <f>+VLOOKUP(A691,cennik!$A:$G,2,FALSE)</f>
        <v>SEVROLL - HIDE N dolné vedenie 3M OLIVA</v>
      </c>
      <c r="F691" s="52" t="str">
        <f>+VLOOKUP(A691,cennik!A:B,2,FALSE)</f>
        <v>SEVROLL - HIDE N dolné vedenie 3M OLIVA</v>
      </c>
      <c r="G691" s="1"/>
      <c r="H691" s="1">
        <v>3000</v>
      </c>
      <c r="I691" s="170" t="str">
        <f t="shared" si="55"/>
        <v xml:space="preserve">3000-strieborná </v>
      </c>
    </row>
    <row r="692" spans="1:9" s="557" customFormat="1" ht="15" customHeight="1">
      <c r="A692" s="170">
        <f t="shared" si="53"/>
        <v>279078</v>
      </c>
      <c r="B692" s="52"/>
      <c r="C692" s="170" t="str">
        <f>$J$6</f>
        <v>oliva</v>
      </c>
      <c r="D692" s="53">
        <v>279078</v>
      </c>
      <c r="E692" s="52" t="str">
        <f>+VLOOKUP(A692,cennik!$A:$G,2,FALSE)</f>
        <v>SEVROLL dolné vedenie Hide N 6m oliva</v>
      </c>
      <c r="F692" s="52" t="str">
        <f>+VLOOKUP(A692,cennik!A:B,2,FALSE)</f>
        <v>SEVROLL dolné vedenie Hide N 6m oliva</v>
      </c>
      <c r="G692" s="1"/>
      <c r="H692" s="1">
        <v>6000</v>
      </c>
      <c r="I692" s="170" t="str">
        <f t="shared" si="55"/>
        <v xml:space="preserve">6000-strieborná </v>
      </c>
    </row>
    <row r="693" spans="1:9" s="557" customFormat="1" ht="15" customHeight="1">
      <c r="A693" s="170">
        <f t="shared" si="53"/>
        <v>212613</v>
      </c>
      <c r="B693" s="52"/>
      <c r="C693" s="170"/>
      <c r="D693" s="53">
        <v>212613</v>
      </c>
      <c r="E693" s="52" t="str">
        <f>+VLOOKUP(A693,cennik!$A:$G,2,FALSE)</f>
        <v>SEVROLL koncovka k lište Hide N strieborná</v>
      </c>
      <c r="F693" s="52" t="str">
        <f>+VLOOKUP(A693,cennik!A:B,2,FALSE)</f>
        <v>SEVROLL koncovka k lište Hide N strieborná</v>
      </c>
      <c r="G693" s="1"/>
      <c r="H693" s="1"/>
      <c r="I693" s="1"/>
    </row>
    <row r="694" spans="1:9" s="557" customFormat="1" ht="15" customHeight="1">
      <c r="A694" s="170">
        <f t="shared" si="53"/>
        <v>212616</v>
      </c>
      <c r="B694" s="52"/>
      <c r="C694" s="170"/>
      <c r="D694" s="53">
        <v>212616</v>
      </c>
      <c r="E694" s="52" t="str">
        <f>+VLOOKUP(A694,cennik!$A:$G,2,FALSE)</f>
        <v>SEVROLL brzda k lište Hide N a M</v>
      </c>
      <c r="F694" s="52" t="str">
        <f>+VLOOKUP(A694,cennik!A:B,2,FALSE)</f>
        <v>SEVROLL brzda k lište Hide N a M</v>
      </c>
      <c r="G694" s="1"/>
      <c r="H694" s="1"/>
      <c r="I694" s="1"/>
    </row>
    <row r="695" spans="1:9" s="557" customFormat="1" ht="15" customHeight="1">
      <c r="A695" s="560">
        <f t="shared" ref="A695:A709" si="56">+D695</f>
        <v>98067</v>
      </c>
      <c r="B695" s="562" t="s">
        <v>6165</v>
      </c>
      <c r="C695" s="560" t="str">
        <f>CONCATENATE(H695,"-",$J$4)</f>
        <v xml:space="preserve">14,5-strieborná </v>
      </c>
      <c r="D695" s="561">
        <v>98067</v>
      </c>
      <c r="E695" s="559" t="str">
        <f>+VLOOKUP(A695,cennik!$A:$G,2,FALSE)</f>
        <v>SEVROLL dorazový kartáč zásuvný 14,5x4mm</v>
      </c>
      <c r="F695" s="559" t="str">
        <f>+VLOOKUP(A695,cennik!A:B,2,FALSE)</f>
        <v>SEVROLL dorazový kartáč zásuvný 14,5x4mm</v>
      </c>
      <c r="H695" s="557">
        <v>14.5</v>
      </c>
      <c r="I695" s="560" t="str">
        <f>CONCATENATE(N682,"-",$J$4)</f>
        <v xml:space="preserve">-strieborná </v>
      </c>
    </row>
    <row r="696" spans="1:9" s="557" customFormat="1" ht="15" customHeight="1">
      <c r="A696" s="560">
        <f t="shared" si="56"/>
        <v>306523</v>
      </c>
      <c r="B696" s="562" t="s">
        <v>6165</v>
      </c>
      <c r="C696" s="560" t="str">
        <f>CONCATENATE(H696,"-",$J$15)</f>
        <v>14,5-biela lesk</v>
      </c>
      <c r="D696" s="561">
        <v>306523</v>
      </c>
      <c r="E696" s="559" t="str">
        <f>+VLOOKUP(A696,cennik!$A:$G,2,FALSE)</f>
        <v>SEVROLL doraz.kratáč zásuvný biely 14,5x4mm</v>
      </c>
      <c r="F696" s="559" t="str">
        <f>+VLOOKUP(A696,cennik!A:B,2,FALSE)</f>
        <v>SEVROLL doraz.kratáč zásuvný biely 14,5x4mm</v>
      </c>
      <c r="H696" s="557">
        <v>14.5</v>
      </c>
      <c r="I696" s="557" t="str">
        <f>$J$15</f>
        <v>biela lesk</v>
      </c>
    </row>
    <row r="697" spans="1:9" s="557" customFormat="1" ht="15" customHeight="1">
      <c r="A697" s="560">
        <f t="shared" si="56"/>
        <v>98067</v>
      </c>
      <c r="B697" s="562" t="s">
        <v>6165</v>
      </c>
      <c r="C697" s="560" t="str">
        <f>CONCATENATE(H697,"-",$J$5)</f>
        <v>14,5-zlatá</v>
      </c>
      <c r="D697" s="561">
        <v>98067</v>
      </c>
      <c r="E697" s="559" t="str">
        <f>+VLOOKUP(A697,cennik!$A:$G,2,FALSE)</f>
        <v>SEVROLL dorazový kartáč zásuvný 14,5x4mm</v>
      </c>
      <c r="F697" s="559" t="str">
        <f>+VLOOKUP(A697,cennik!A:B,2,FALSE)</f>
        <v>SEVROLL dorazový kartáč zásuvný 14,5x4mm</v>
      </c>
      <c r="H697" s="557">
        <v>14.5</v>
      </c>
      <c r="I697" s="560" t="str">
        <f>CONCATENATE(N684,"-",$J$5)</f>
        <v>-zlatá</v>
      </c>
    </row>
    <row r="698" spans="1:9" s="557" customFormat="1" ht="15" customHeight="1">
      <c r="A698" s="560">
        <f t="shared" si="56"/>
        <v>98067</v>
      </c>
      <c r="B698" s="562" t="s">
        <v>6165</v>
      </c>
      <c r="C698" s="560" t="str">
        <f>CONCATENATE(H698,"-",$J$6)</f>
        <v>14,5-oliva</v>
      </c>
      <c r="D698" s="561">
        <v>98067</v>
      </c>
      <c r="E698" s="559" t="str">
        <f>+VLOOKUP(A698,cennik!$A:$G,2,FALSE)</f>
        <v>SEVROLL dorazový kartáč zásuvný 14,5x4mm</v>
      </c>
      <c r="F698" s="559" t="str">
        <f>+VLOOKUP(A698,cennik!A:B,2,FALSE)</f>
        <v>SEVROLL dorazový kartáč zásuvný 14,5x4mm</v>
      </c>
      <c r="H698" s="557">
        <v>14.5</v>
      </c>
      <c r="I698" s="560" t="str">
        <f>CONCATENATE(N685,"-",$J$6)</f>
        <v>-oliva</v>
      </c>
    </row>
    <row r="699" spans="1:9" s="557" customFormat="1" ht="15" customHeight="1">
      <c r="A699" s="560">
        <f t="shared" si="56"/>
        <v>98067</v>
      </c>
      <c r="B699" s="562" t="s">
        <v>6165</v>
      </c>
      <c r="C699" s="560" t="str">
        <f>CONCATENATE(H699,"-",$J$7)</f>
        <v>14,5-oliva kartáčovaná</v>
      </c>
      <c r="D699" s="561">
        <v>98067</v>
      </c>
      <c r="E699" s="559" t="str">
        <f>+VLOOKUP(A699,cennik!$A:$G,2,FALSE)</f>
        <v>SEVROLL dorazový kartáč zásuvný 14,5x4mm</v>
      </c>
      <c r="F699" s="559" t="str">
        <f>+VLOOKUP(A699,cennik!A:B,2,FALSE)</f>
        <v>SEVROLL dorazový kartáč zásuvný 14,5x4mm</v>
      </c>
      <c r="H699" s="557">
        <v>14.5</v>
      </c>
      <c r="I699" s="560" t="str">
        <f>CONCATENATE(N686,"-",$J$7)</f>
        <v>-oliva kartáčovaná</v>
      </c>
    </row>
    <row r="700" spans="1:9" ht="15" customHeight="1">
      <c r="A700" s="560">
        <f t="shared" si="56"/>
        <v>98067</v>
      </c>
      <c r="B700" s="562" t="s">
        <v>6165</v>
      </c>
      <c r="C700" s="560" t="str">
        <f>CONCATENATE(H700,"-",$J$8)</f>
        <v>14,5-kart. tm. oliva</v>
      </c>
      <c r="D700" s="561">
        <v>98067</v>
      </c>
      <c r="E700" s="559" t="str">
        <f>+VLOOKUP(A700,cennik!$A:$G,2,FALSE)</f>
        <v>SEVROLL dorazový kartáč zásuvný 14,5x4mm</v>
      </c>
      <c r="F700" s="559" t="str">
        <f>+VLOOKUP(A700,cennik!A:B,2,FALSE)</f>
        <v>SEVROLL dorazový kartáč zásuvný 14,5x4mm</v>
      </c>
      <c r="G700" s="557"/>
      <c r="H700" s="557">
        <v>14.5</v>
      </c>
      <c r="I700" s="560" t="str">
        <f>CONCATENATE(N687,"-",$J$8)</f>
        <v>-kart. tm. oliva</v>
      </c>
    </row>
    <row r="701" spans="1:9" s="566" customFormat="1" ht="15" customHeight="1">
      <c r="A701" s="563">
        <v>409700</v>
      </c>
      <c r="B701" s="562" t="s">
        <v>6165</v>
      </c>
      <c r="C701" s="560" t="str">
        <f>CONCATENATE(H701,"-",$J$9)</f>
        <v>14,5-kart. čierna</v>
      </c>
      <c r="D701" s="563">
        <v>409700</v>
      </c>
      <c r="E701" s="559" t="str">
        <f>+VLOOKUP(A701,cennik!$A:$G,2,FALSE)</f>
        <v>SEVROLL doraz.kratáč zásuvný čierny 14x4mm</v>
      </c>
      <c r="F701" s="559" t="str">
        <f>+VLOOKUP(A701,cennik!A:B,2,FALSE)</f>
        <v>SEVROLL doraz.kratáč zásuvný čierny 14x4mm</v>
      </c>
      <c r="G701" s="557"/>
      <c r="H701" s="557">
        <v>14.5</v>
      </c>
      <c r="I701" s="560" t="str">
        <f>CONCATENATE(N688,"-",$J$9)</f>
        <v>-kart. čierna</v>
      </c>
    </row>
    <row r="702" spans="1:9" s="566" customFormat="1" ht="15" customHeight="1">
      <c r="A702" s="560">
        <f t="shared" si="56"/>
        <v>229433</v>
      </c>
      <c r="B702" s="562" t="s">
        <v>6165</v>
      </c>
      <c r="C702" s="560" t="str">
        <f>CONCATENATE(H702,"-",$J$4)</f>
        <v xml:space="preserve">4,8-strieborná </v>
      </c>
      <c r="D702" s="561">
        <v>229433</v>
      </c>
      <c r="E702" s="559" t="str">
        <f>+VLOOKUP(A702,cennik!$A:$G,2,FALSE)</f>
        <v>SEVROLL dorazový kartáč zásuvný 4,8x4mm</v>
      </c>
      <c r="F702" s="559" t="str">
        <f>+VLOOKUP(A702,cennik!A:B,2,FALSE)</f>
        <v>SEVROLL dorazový kartáč zásuvný 4,8x4mm</v>
      </c>
      <c r="G702" s="557"/>
      <c r="H702" s="557">
        <v>4.8</v>
      </c>
      <c r="I702" s="560" t="str">
        <f>CONCATENATE(N689,"-",$J$4)</f>
        <v xml:space="preserve">-strieborná </v>
      </c>
    </row>
    <row r="703" spans="1:9" ht="15" customHeight="1">
      <c r="A703" s="560">
        <f t="shared" si="56"/>
        <v>229433</v>
      </c>
      <c r="B703" s="562" t="s">
        <v>6165</v>
      </c>
      <c r="C703" s="560" t="str">
        <f>CONCATENATE(H703,"-",$J$5)</f>
        <v>4,8-zlatá</v>
      </c>
      <c r="D703" s="561">
        <v>229433</v>
      </c>
      <c r="E703" s="559" t="str">
        <f>+VLOOKUP(A703,cennik!$A:$G,2,FALSE)</f>
        <v>SEVROLL dorazový kartáč zásuvný 4,8x4mm</v>
      </c>
      <c r="F703" s="559" t="str">
        <f>+VLOOKUP(A703,cennik!A:B,2,FALSE)</f>
        <v>SEVROLL dorazový kartáč zásuvný 4,8x4mm</v>
      </c>
      <c r="G703" s="557"/>
      <c r="H703" s="557">
        <v>4.8</v>
      </c>
      <c r="I703" s="560" t="str">
        <f>CONCATENATE(N690,"-",$J$5)</f>
        <v>-zlatá</v>
      </c>
    </row>
    <row r="704" spans="1:9" ht="15" customHeight="1">
      <c r="A704" s="560">
        <f t="shared" si="56"/>
        <v>229433</v>
      </c>
      <c r="B704" s="562" t="s">
        <v>6165</v>
      </c>
      <c r="C704" s="560" t="str">
        <f>CONCATENATE(H704,"-",$J$6)</f>
        <v>4,8-oliva</v>
      </c>
      <c r="D704" s="561">
        <v>229433</v>
      </c>
      <c r="E704" s="559" t="str">
        <f>+VLOOKUP(A704,cennik!$A:$G,2,FALSE)</f>
        <v>SEVROLL dorazový kartáč zásuvný 4,8x4mm</v>
      </c>
      <c r="F704" s="559" t="str">
        <f>+VLOOKUP(A704,cennik!A:B,2,FALSE)</f>
        <v>SEVROLL dorazový kartáč zásuvný 4,8x4mm</v>
      </c>
      <c r="G704" s="557"/>
      <c r="H704" s="557">
        <v>4.8</v>
      </c>
      <c r="I704" s="560" t="str">
        <f>CONCATENATE(N691,"-",$J$6)</f>
        <v>-oliva</v>
      </c>
    </row>
    <row r="705" spans="1:9" ht="15" customHeight="1">
      <c r="A705" s="560">
        <f t="shared" si="56"/>
        <v>229433</v>
      </c>
      <c r="B705" s="562" t="s">
        <v>6165</v>
      </c>
      <c r="C705" s="560" t="str">
        <f>CONCATENATE(H705,"-",$J$7)</f>
        <v>4,8-oliva kartáčovaná</v>
      </c>
      <c r="D705" s="561">
        <v>229433</v>
      </c>
      <c r="E705" s="559" t="str">
        <f>+VLOOKUP(A705,cennik!$A:$G,2,FALSE)</f>
        <v>SEVROLL dorazový kartáč zásuvný 4,8x4mm</v>
      </c>
      <c r="F705" s="559" t="str">
        <f>+VLOOKUP(A705,cennik!A:B,2,FALSE)</f>
        <v>SEVROLL dorazový kartáč zásuvný 4,8x4mm</v>
      </c>
      <c r="G705" s="557"/>
      <c r="H705" s="557">
        <v>4.8</v>
      </c>
      <c r="I705" s="560" t="str">
        <f>CONCATENATE(N692,"-",$J$7)</f>
        <v>-oliva kartáčovaná</v>
      </c>
    </row>
    <row r="706" spans="1:9" ht="15" customHeight="1">
      <c r="A706" s="560">
        <f t="shared" si="56"/>
        <v>229433</v>
      </c>
      <c r="B706" s="562" t="s">
        <v>6165</v>
      </c>
      <c r="C706" s="560" t="str">
        <f>CONCATENATE(H706,"-",$J$8)</f>
        <v>4,8-kart. tm. oliva</v>
      </c>
      <c r="D706" s="561">
        <v>229433</v>
      </c>
      <c r="E706" s="559" t="str">
        <f>+VLOOKUP(A706,cennik!$A:$G,2,FALSE)</f>
        <v>SEVROLL dorazový kartáč zásuvný 4,8x4mm</v>
      </c>
      <c r="F706" s="559" t="str">
        <f>+VLOOKUP(A706,cennik!A:B,2,FALSE)</f>
        <v>SEVROLL dorazový kartáč zásuvný 4,8x4mm</v>
      </c>
      <c r="G706" s="557"/>
      <c r="H706" s="557">
        <v>4.8</v>
      </c>
      <c r="I706" s="560" t="str">
        <f>CONCATENATE(N693,"-",$J$8)</f>
        <v>-kart. tm. oliva</v>
      </c>
    </row>
    <row r="707" spans="1:9" ht="15" customHeight="1">
      <c r="A707" s="564">
        <v>409699</v>
      </c>
      <c r="B707" s="562" t="s">
        <v>6165</v>
      </c>
      <c r="C707" s="560" t="str">
        <f>CONCATENATE(H707,"-",$J$9)</f>
        <v>4,8-kart. čierna</v>
      </c>
      <c r="D707" s="564">
        <v>409699</v>
      </c>
      <c r="E707" s="559" t="str">
        <f>+VLOOKUP(A707,cennik!$A:$G,2,FALSE)</f>
        <v>SEVROLL dorazový kartáč zásuvný 4,8x4mm čierny</v>
      </c>
      <c r="F707" s="559" t="str">
        <f>+VLOOKUP(A707,cennik!A:B,2,FALSE)</f>
        <v>SEVROLL dorazový kartáč zásuvný 4,8x4mm čierny</v>
      </c>
      <c r="G707" s="557"/>
      <c r="H707" s="557">
        <v>4.8</v>
      </c>
      <c r="I707" s="560" t="str">
        <f>CONCATENATE(N694,"-",$J$9)</f>
        <v>-kart. čierna</v>
      </c>
    </row>
    <row r="708" spans="1:9" ht="15" customHeight="1">
      <c r="A708" s="560">
        <f t="shared" ref="A708" si="57">+D708</f>
        <v>305137</v>
      </c>
      <c r="B708" s="562" t="s">
        <v>6165</v>
      </c>
      <c r="C708" s="560" t="str">
        <f>CONCATENATE(H708,"-",$J$15)</f>
        <v>4,8-biela lesk</v>
      </c>
      <c r="D708" s="561">
        <v>305137</v>
      </c>
      <c r="E708" s="559" t="str">
        <f>+VLOOKUP(A708,cennik!$A:$G,2,FALSE)</f>
        <v>SEVROLL dorazový kartáč zásuvný 4,8x4mm biel</v>
      </c>
      <c r="F708" s="559" t="str">
        <f>+VLOOKUP(A708,cennik!A:B,2,FALSE)</f>
        <v>SEVROLL dorazový kartáč zásuvný 4,8x4mm biel</v>
      </c>
      <c r="G708" s="557"/>
      <c r="H708" s="557">
        <v>4.8</v>
      </c>
      <c r="I708" s="557" t="str">
        <f>$J$15</f>
        <v>biela lesk</v>
      </c>
    </row>
    <row r="709" spans="1:9" ht="15" customHeight="1">
      <c r="A709" s="560">
        <f t="shared" si="56"/>
        <v>305137</v>
      </c>
      <c r="B709" s="562" t="s">
        <v>6165</v>
      </c>
      <c r="C709" s="560" t="str">
        <f>CONCATENATE(H709,"-",$J$18)</f>
        <v>4,8-biela mat</v>
      </c>
      <c r="D709" s="561">
        <v>305137</v>
      </c>
      <c r="E709" s="559" t="str">
        <f>+VLOOKUP(A709,cennik!$A:$G,2,FALSE)</f>
        <v>SEVROLL dorazový kartáč zásuvný 4,8x4mm biel</v>
      </c>
      <c r="F709" s="559" t="str">
        <f>+VLOOKUP(A709,cennik!A:B,2,FALSE)</f>
        <v>SEVROLL dorazový kartáč zásuvný 4,8x4mm biel</v>
      </c>
      <c r="G709" s="557"/>
      <c r="H709" s="557">
        <v>4.8</v>
      </c>
      <c r="I709" s="557" t="str">
        <f>$J$18</f>
        <v>biela mat</v>
      </c>
    </row>
    <row r="710" spans="1:9" ht="15" customHeight="1">
      <c r="A710" s="563">
        <v>409700</v>
      </c>
      <c r="B710" s="562" t="s">
        <v>6165</v>
      </c>
      <c r="C710" s="560" t="str">
        <f>CONCATENATE(H710,"-",$J$16)</f>
        <v>14,5-čierna lesk</v>
      </c>
      <c r="D710" s="563">
        <v>409700</v>
      </c>
      <c r="E710" s="559" t="str">
        <f>+VLOOKUP(A710,cennik!$A:$G,2,FALSE)</f>
        <v>SEVROLL doraz.kratáč zásuvný čierny 14x4mm</v>
      </c>
      <c r="F710" s="559" t="str">
        <f>+VLOOKUP(A710,cennik!A:B,2,FALSE)</f>
        <v>SEVROLL doraz.kratáč zásuvný čierny 14x4mm</v>
      </c>
      <c r="G710" s="557"/>
      <c r="H710" s="557">
        <v>14.5</v>
      </c>
      <c r="I710" s="557"/>
    </row>
    <row r="711" spans="1:9" ht="15" customHeight="1">
      <c r="A711" s="564">
        <v>409699</v>
      </c>
      <c r="B711" s="562" t="s">
        <v>6165</v>
      </c>
      <c r="C711" s="560" t="str">
        <f>CONCATENATE(H711,"-",$J$16)</f>
        <v>4,8-čierna lesk</v>
      </c>
      <c r="D711" s="564">
        <v>409699</v>
      </c>
      <c r="E711" s="559" t="str">
        <f>+VLOOKUP(A711,cennik!$A:$G,2,FALSE)</f>
        <v>SEVROLL dorazový kartáč zásuvný 4,8x4mm čierny</v>
      </c>
      <c r="F711" s="559" t="str">
        <f>+VLOOKUP(A711,cennik!A:B,2,FALSE)</f>
        <v>SEVROLL dorazový kartáč zásuvný 4,8x4mm čierny</v>
      </c>
      <c r="G711" s="557"/>
      <c r="H711" s="557">
        <v>4.8</v>
      </c>
      <c r="I711" s="557"/>
    </row>
    <row r="712" spans="1:9" ht="15" customHeight="1">
      <c r="A712" s="563">
        <v>409700</v>
      </c>
      <c r="B712" s="562" t="s">
        <v>6165</v>
      </c>
      <c r="C712" s="560" t="str">
        <f>CONCATENATE(H712,"-",$J$17)</f>
        <v>14,5-čierna mat</v>
      </c>
      <c r="D712" s="563">
        <v>409700</v>
      </c>
      <c r="E712" s="559" t="str">
        <f>+VLOOKUP(A712,cennik!$A:$G,2,FALSE)</f>
        <v>SEVROLL doraz.kratáč zásuvný čierny 14x4mm</v>
      </c>
      <c r="F712" s="559" t="str">
        <f>+VLOOKUP(A712,cennik!A:B,2,FALSE)</f>
        <v>SEVROLL doraz.kratáč zásuvný čierny 14x4mm</v>
      </c>
      <c r="G712" s="557"/>
      <c r="H712" s="557">
        <v>14.5</v>
      </c>
      <c r="I712" s="557"/>
    </row>
    <row r="713" spans="1:9" ht="15" customHeight="1">
      <c r="A713" s="564">
        <v>409699</v>
      </c>
      <c r="B713" s="562" t="s">
        <v>6165</v>
      </c>
      <c r="C713" s="560" t="str">
        <f>CONCATENATE(H713,"-",$J$17)</f>
        <v>4,8-čierna mat</v>
      </c>
      <c r="D713" s="564">
        <v>409699</v>
      </c>
      <c r="E713" s="559" t="str">
        <f>+VLOOKUP(A713,cennik!$A:$G,2,FALSE)</f>
        <v>SEVROLL dorazový kartáč zásuvný 4,8x4mm čierny</v>
      </c>
      <c r="F713" s="559" t="str">
        <f>+VLOOKUP(A713,cennik!A:B,2,FALSE)</f>
        <v>SEVROLL dorazový kartáč zásuvný 4,8x4mm čierny</v>
      </c>
      <c r="G713" s="557"/>
      <c r="H713" s="557">
        <v>4.8</v>
      </c>
      <c r="I713" s="557"/>
    </row>
    <row r="714" spans="1:9" s="578" customFormat="1" ht="15" customHeight="1">
      <c r="A714" s="560">
        <f t="shared" ref="A714" si="58">+D714</f>
        <v>305137</v>
      </c>
      <c r="B714" s="562" t="s">
        <v>6165</v>
      </c>
      <c r="C714" s="560" t="str">
        <f>CONCATENATE(H714,"-",$J$18)</f>
        <v>4,8-biela mat</v>
      </c>
      <c r="D714" s="561">
        <v>305137</v>
      </c>
      <c r="E714" s="559" t="str">
        <f>+VLOOKUP(A714,cennik!$A:$G,2,FALSE)</f>
        <v>SEVROLL dorazový kartáč zásuvný 4,8x4mm biel</v>
      </c>
      <c r="F714" s="559" t="str">
        <f>+VLOOKUP(A714,cennik!A:B,2,FALSE)</f>
        <v>SEVROLL dorazový kartáč zásuvný 4,8x4mm biel</v>
      </c>
      <c r="G714" s="557"/>
      <c r="H714" s="557">
        <v>4.8</v>
      </c>
      <c r="I714" s="557" t="str">
        <f>$J$15</f>
        <v>biela lesk</v>
      </c>
    </row>
    <row r="715" spans="1:9" s="578" customFormat="1" ht="15" customHeight="1">
      <c r="A715" s="566">
        <v>452604</v>
      </c>
      <c r="B715" s="566"/>
      <c r="C715" s="566" t="str">
        <f t="shared" ref="C715:C725" si="59">CONCATENATE(H715,"-",$J$17)</f>
        <v>3000-čierna mat</v>
      </c>
      <c r="D715" s="566">
        <v>452604</v>
      </c>
      <c r="E715" s="567" t="str">
        <f>+VLOOKUP(A715,cennik!$A:$G,2,FALSE)</f>
        <v>SEVROLL spojovacia lišta H30 3m čierna mat</v>
      </c>
      <c r="F715" s="567" t="str">
        <f>+VLOOKUP(A715,cennik!A:B,2,FALSE)</f>
        <v>SEVROLL spojovacia lišta H30 3m čierna mat</v>
      </c>
      <c r="G715" s="566"/>
      <c r="H715" s="566">
        <v>3000</v>
      </c>
      <c r="I715" s="566" t="str">
        <f t="shared" ref="I715:I725" si="60">CONCATENATE(H715,"-",$J$17)</f>
        <v>3000-čierna mat</v>
      </c>
    </row>
    <row r="716" spans="1:9" s="578" customFormat="1" ht="15" customHeight="1">
      <c r="A716" s="1">
        <v>278164</v>
      </c>
      <c r="B716" s="1"/>
      <c r="C716" s="1" t="str">
        <f t="shared" si="59"/>
        <v>2700-čierna mat</v>
      </c>
      <c r="D716" s="1">
        <v>278164</v>
      </c>
      <c r="E716" s="52" t="str">
        <f>+VLOOKUP(A716,cennik!$A:$G,2,FALSE)</f>
        <v>SEVROLL Gemini úchytová lišta 2,7m čierna mat</v>
      </c>
      <c r="F716" s="52" t="str">
        <f>+VLOOKUP(A716,cennik!A:B,2,FALSE)</f>
        <v>SEVROLL Gemini úchytová lišta 2,7m čierna mat</v>
      </c>
      <c r="G716" s="1"/>
      <c r="H716" s="1">
        <v>2700</v>
      </c>
      <c r="I716" s="1" t="str">
        <f t="shared" si="60"/>
        <v>2700-čierna mat</v>
      </c>
    </row>
    <row r="717" spans="1:9" s="578" customFormat="1" ht="15" customHeight="1">
      <c r="A717" s="1">
        <v>409674</v>
      </c>
      <c r="B717" s="1"/>
      <c r="C717" s="1" t="str">
        <f t="shared" si="59"/>
        <v>4050-čierna mat</v>
      </c>
      <c r="D717" s="1">
        <v>409674</v>
      </c>
      <c r="E717" s="52" t="str">
        <f>+VLOOKUP(A717,cennik!$A:$G,2,FALSE)</f>
        <v>SEVROLL Gemini horné vedenie 4,05m čierna mat</v>
      </c>
      <c r="F717" s="52" t="str">
        <f>+VLOOKUP(A717,cennik!A:B,2,FALSE)</f>
        <v>SEVROLL Gemini horné vedenie 4,05m čierna mat</v>
      </c>
      <c r="G717" s="1"/>
      <c r="H717" s="1">
        <v>4050</v>
      </c>
      <c r="I717" s="1" t="str">
        <f t="shared" si="60"/>
        <v>4050-čierna mat</v>
      </c>
    </row>
    <row r="718" spans="1:9" s="578" customFormat="1" ht="15" customHeight="1">
      <c r="A718" s="1">
        <v>452601</v>
      </c>
      <c r="B718" s="1"/>
      <c r="C718" s="1" t="str">
        <f t="shared" si="59"/>
        <v>2700-čierna mat</v>
      </c>
      <c r="D718" s="1">
        <v>452601</v>
      </c>
      <c r="E718" s="52" t="str">
        <f>+VLOOKUP(A718,cennik!$A:$G,2,FALSE)</f>
        <v>SEVROLL Faworyt II úchytová liš.2,7m čierna mat</v>
      </c>
      <c r="F718" s="52" t="str">
        <f>+VLOOKUP(A718,cennik!A:B,2,FALSE)</f>
        <v>SEVROLL Faworyt II úchytová liš.2,7m čierna mat</v>
      </c>
      <c r="G718" s="1"/>
      <c r="H718" s="1">
        <v>2700</v>
      </c>
      <c r="I718" s="1" t="str">
        <f t="shared" si="60"/>
        <v>2700-čierna mat</v>
      </c>
    </row>
    <row r="719" spans="1:9" s="578" customFormat="1" ht="15" customHeight="1">
      <c r="A719" s="1">
        <v>452735</v>
      </c>
      <c r="B719" s="1"/>
      <c r="C719" s="1" t="str">
        <f t="shared" si="59"/>
        <v>3000-čierna mat</v>
      </c>
      <c r="D719" s="2">
        <v>452735</v>
      </c>
      <c r="E719" s="570" t="str">
        <f>+VLOOKUP(A719,cennik!$A:$G,2,FALSE)</f>
        <v>SEVROLL Pax horná vodiaca lišta 3m čierna mat</v>
      </c>
      <c r="F719" s="52" t="str">
        <f>+VLOOKUP(A719,cennik!A:B,2,FALSE)</f>
        <v>SEVROLL Pax horná vodiaca lišta 3m čierna mat</v>
      </c>
      <c r="G719" s="1"/>
      <c r="H719" s="1">
        <v>3000</v>
      </c>
      <c r="I719" s="1" t="str">
        <f t="shared" si="60"/>
        <v>3000-čierna mat</v>
      </c>
    </row>
    <row r="720" spans="1:9" s="578" customFormat="1" ht="15" customHeight="1">
      <c r="A720" s="1">
        <v>456332</v>
      </c>
      <c r="B720" s="1"/>
      <c r="C720" s="1" t="str">
        <f t="shared" si="59"/>
        <v>2700-čierna mat</v>
      </c>
      <c r="D720" s="2">
        <v>456332</v>
      </c>
      <c r="E720" s="52" t="str">
        <f>+VLOOKUP(A720,cennik!$A:$G,2,FALSE)</f>
        <v>SEVROLL Pax úchytová lišta 2,7m čierna mat</v>
      </c>
      <c r="F720" s="52" t="str">
        <f>+VLOOKUP(A720,cennik!A:B,2,FALSE)</f>
        <v>SEVROLL Pax úchytová lišta 2,7m čierna mat</v>
      </c>
      <c r="G720" s="1"/>
      <c r="H720" s="1">
        <v>2700</v>
      </c>
      <c r="I720" s="1" t="str">
        <f t="shared" si="60"/>
        <v>2700-čierna mat</v>
      </c>
    </row>
    <row r="721" spans="1:9" ht="15" customHeight="1">
      <c r="A721" s="1">
        <v>456333</v>
      </c>
      <c r="C721" s="1" t="str">
        <f t="shared" si="59"/>
        <v>3000-čierna mat</v>
      </c>
      <c r="D721" s="2">
        <v>456333</v>
      </c>
      <c r="E721" s="52" t="str">
        <f>+VLOOKUP(A721,cennik!$A:$G,2,FALSE)</f>
        <v>SEVROLL Pax úchytová lišta 3m čierna mat</v>
      </c>
      <c r="F721" s="52" t="str">
        <f>+VLOOKUP(A721,cennik!A:B,2,FALSE)</f>
        <v>SEVROLL Pax úchytová lišta 3m čierna mat</v>
      </c>
      <c r="H721" s="1">
        <v>3000</v>
      </c>
      <c r="I721" s="1" t="str">
        <f t="shared" si="60"/>
        <v>3000-čierna mat</v>
      </c>
    </row>
    <row r="722" spans="1:9" ht="15" customHeight="1">
      <c r="A722" s="1">
        <v>422012</v>
      </c>
      <c r="C722" s="1" t="str">
        <f t="shared" si="59"/>
        <v>-čierna mat</v>
      </c>
      <c r="D722" s="1">
        <v>422012</v>
      </c>
      <c r="E722" s="52" t="str">
        <f>+VLOOKUP(A722,cennik!$A:$G,2,FALSE)</f>
        <v>SEVROLL Pax záslepka profilu (4 ks) čierna mat</v>
      </c>
      <c r="F722" s="52" t="str">
        <f>+VLOOKUP(A722,cennik!A:B,2,FALSE)</f>
        <v>SEVROLL Pax záslepka profilu (4 ks) čierna mat</v>
      </c>
      <c r="I722" s="1" t="str">
        <f t="shared" si="60"/>
        <v>-čierna mat</v>
      </c>
    </row>
    <row r="723" spans="1:9" ht="15" customHeight="1">
      <c r="A723" s="1">
        <v>452606</v>
      </c>
      <c r="C723" s="1" t="str">
        <f t="shared" si="59"/>
        <v>3000-čierna mat</v>
      </c>
      <c r="D723" s="1">
        <v>452606</v>
      </c>
      <c r="E723" s="52" t="str">
        <f>+VLOOKUP(A723,cennik!$A:$G,2,FALSE)</f>
        <v/>
      </c>
      <c r="F723" s="52" t="str">
        <f>+VLOOKUP(A723,cennik!A:B,2,FALSE)</f>
        <v/>
      </c>
      <c r="H723" s="1">
        <v>3000</v>
      </c>
      <c r="I723" s="1" t="str">
        <f t="shared" si="60"/>
        <v>3000-čierna mat</v>
      </c>
    </row>
    <row r="724" spans="1:9" ht="15" customHeight="1">
      <c r="A724" s="1">
        <v>422009</v>
      </c>
      <c r="C724" s="1" t="str">
        <f t="shared" si="59"/>
        <v>-čierna mat</v>
      </c>
      <c r="D724" s="1">
        <v>422009</v>
      </c>
      <c r="E724" s="52" t="str">
        <f>+VLOOKUP(A724,cennik!$A:$G,2,FALSE)</f>
        <v>SEVROLL Pax nalepovacia úchytka čierna mat</v>
      </c>
      <c r="F724" s="52" t="str">
        <f>+VLOOKUP(A724,cennik!A:B,2,FALSE)</f>
        <v>SEVROLL Pax nalepovacia úchytka čierna mat</v>
      </c>
      <c r="I724" s="1" t="str">
        <f t="shared" si="60"/>
        <v>-čierna mat</v>
      </c>
    </row>
    <row r="725" spans="1:9" ht="15" customHeight="1">
      <c r="A725" s="1">
        <v>452737</v>
      </c>
      <c r="C725" s="1" t="str">
        <f t="shared" si="59"/>
        <v>3000-čierna mat</v>
      </c>
      <c r="D725" s="2">
        <v>452737</v>
      </c>
      <c r="E725" s="52" t="e">
        <f>+VLOOKUP(A725,cennik!$A:$G,2,FALSE)</f>
        <v>#N/A</v>
      </c>
      <c r="F725" s="52" t="e">
        <f>+VLOOKUP(A725,cennik!A:B,2,FALSE)</f>
        <v>#N/A</v>
      </c>
      <c r="H725" s="1">
        <v>3000</v>
      </c>
      <c r="I725" s="1" t="str">
        <f t="shared" si="60"/>
        <v>3000-čierna mat</v>
      </c>
    </row>
    <row r="726" spans="1:9" ht="15" customHeight="1">
      <c r="A726" s="577">
        <v>276731</v>
      </c>
      <c r="B726" s="578"/>
      <c r="C726" s="578" t="str">
        <f t="shared" ref="C726:C729" si="61">CONCATENATE(H726,"-",$J$18)</f>
        <v>3000-biela mat</v>
      </c>
      <c r="D726" s="577">
        <v>276731</v>
      </c>
      <c r="E726" s="579" t="str">
        <f>+VLOOKUP(A726,cennik!$A:$G,2,FALSE)</f>
        <v>SEVROLL uholník 17x11mm 3m RAL9003 mat</v>
      </c>
      <c r="F726" s="579" t="str">
        <f>+VLOOKUP(A726,cennik!A:B,2,FALSE)</f>
        <v>SEVROLL uholník 17x11mm 3m RAL9003 mat</v>
      </c>
      <c r="G726" s="578"/>
      <c r="H726" s="578">
        <v>3000</v>
      </c>
      <c r="I726" s="578" t="str">
        <f t="shared" ref="I726:I729" si="62">CONCATENATE(H726,"-",$J$18)</f>
        <v>3000-biela mat</v>
      </c>
    </row>
    <row r="727" spans="1:9" s="575" customFormat="1" ht="15" customHeight="1">
      <c r="A727" s="577">
        <v>276742</v>
      </c>
      <c r="B727" s="578"/>
      <c r="C727" s="578" t="str">
        <f t="shared" si="61"/>
        <v>2700-biela mat</v>
      </c>
      <c r="D727" s="577">
        <v>276742</v>
      </c>
      <c r="E727" s="579" t="str">
        <f>+VLOOKUP(A727,cennik!$A:$G,2,FALSE)</f>
        <v>SEVROLL Faworyt II úchytová liš.2,7m RAL9003</v>
      </c>
      <c r="F727" s="579" t="str">
        <f>+VLOOKUP(A727,cennik!A:B,2,FALSE)</f>
        <v>SEVROLL Faworyt II úchytová liš.2,7m RAL9003</v>
      </c>
      <c r="G727" s="578"/>
      <c r="H727" s="578">
        <v>2700</v>
      </c>
      <c r="I727" s="578" t="str">
        <f t="shared" si="62"/>
        <v>2700-biela mat</v>
      </c>
    </row>
    <row r="728" spans="1:9" s="575" customFormat="1" ht="15" customHeight="1">
      <c r="A728" s="577">
        <v>394791</v>
      </c>
      <c r="B728" s="578"/>
      <c r="C728" s="578" t="str">
        <f t="shared" si="61"/>
        <v>2700-biela mat</v>
      </c>
      <c r="D728" s="577">
        <v>394791</v>
      </c>
      <c r="E728" s="579" t="str">
        <f>+VLOOKUP(A728,cennik!$A:$G,2,FALSE)</f>
        <v>SEVROLL Alfa II lišta 18mm 2,7m biela mat</v>
      </c>
      <c r="F728" s="579" t="str">
        <f>+VLOOKUP(A728,cennik!A:B,2,FALSE)</f>
        <v>SEVROLL Alfa II lišta 18mm 2,7m biela mat</v>
      </c>
      <c r="G728" s="578"/>
      <c r="H728" s="578">
        <v>2700</v>
      </c>
      <c r="I728" s="578" t="str">
        <f t="shared" si="62"/>
        <v>2700-biela mat</v>
      </c>
    </row>
    <row r="729" spans="1:9" s="575" customFormat="1" ht="15" customHeight="1">
      <c r="A729" s="577">
        <v>406464</v>
      </c>
      <c r="B729" s="578"/>
      <c r="C729" s="578" t="str">
        <f t="shared" si="61"/>
        <v>3000-biela mat</v>
      </c>
      <c r="D729" s="577">
        <v>406464</v>
      </c>
      <c r="E729" s="579" t="str">
        <f>+VLOOKUP(A729,cennik!$A:$G,2,FALSE)</f>
        <v/>
      </c>
      <c r="F729" s="579" t="str">
        <f>+VLOOKUP(A729,cennik!A:B,2,FALSE)</f>
        <v/>
      </c>
      <c r="G729" s="578"/>
      <c r="H729" s="578">
        <v>3000</v>
      </c>
      <c r="I729" s="578" t="str">
        <f t="shared" si="62"/>
        <v>3000-biela mat</v>
      </c>
    </row>
    <row r="730" spans="1:9" s="575" customFormat="1" ht="15" customHeight="1">
      <c r="A730" s="575">
        <v>372603</v>
      </c>
      <c r="C730" s="575" t="str">
        <f>CONCATENATE(H730,"-",$J$15)</f>
        <v>2700-biela lesk</v>
      </c>
      <c r="D730" s="575">
        <v>372603</v>
      </c>
      <c r="E730" s="573" t="str">
        <f>+VLOOKUP(A730,cennik!$A:$G,2,FALSE)</f>
        <v>Sevroll Era úchytová lišta 18mm 2,70m biela lesk</v>
      </c>
      <c r="F730" s="573" t="str">
        <f>+VLOOKUP(A730,cennik!A:B,2,FALSE)</f>
        <v>Sevroll Era úchytová lišta 18mm 2,70m biela lesk</v>
      </c>
      <c r="H730" s="575">
        <v>2700</v>
      </c>
      <c r="I730" s="575" t="str">
        <f>CONCATENATE(H730,"-",$J$15)</f>
        <v>2700-biela lesk</v>
      </c>
    </row>
    <row r="731" spans="1:9" s="575" customFormat="1" ht="15" customHeight="1">
      <c r="A731" s="575">
        <v>394231</v>
      </c>
      <c r="C731" s="575" t="str">
        <f t="shared" ref="C731:C736" si="63">CONCATENATE(H731,"-",$J$15)</f>
        <v>2000-biela lesk</v>
      </c>
      <c r="D731" s="575">
        <v>394231</v>
      </c>
      <c r="E731" s="573" t="str">
        <f>+VLOOKUP(A731,cennik!$A:$G,2,FALSE)</f>
        <v/>
      </c>
      <c r="F731" s="573" t="str">
        <f>+VLOOKUP(A731,cennik!A:B,2,FALSE)</f>
        <v/>
      </c>
      <c r="H731" s="575">
        <v>2000</v>
      </c>
      <c r="I731" s="575" t="str">
        <f t="shared" ref="I731:I736" si="64">CONCATENATE(H731,"-",$J$15)</f>
        <v>2000-biela lesk</v>
      </c>
    </row>
    <row r="732" spans="1:9" s="575" customFormat="1" ht="15" customHeight="1">
      <c r="A732" s="575">
        <v>394265</v>
      </c>
      <c r="C732" s="575" t="str">
        <f t="shared" si="63"/>
        <v>3000-biela lesk</v>
      </c>
      <c r="D732" s="575">
        <v>394265</v>
      </c>
      <c r="E732" s="573" t="str">
        <f>+VLOOKUP(A732,cennik!$A:$G,2,FALSE)</f>
        <v>SEVROLL spod.krycia lišta Simple/Blue 3m(18mm) biela lesk</v>
      </c>
      <c r="F732" s="573" t="str">
        <f>+VLOOKUP(A732,cennik!A:B,2,FALSE)</f>
        <v>SEVROLL spod.krycia lišta Simple/Blue 3m(18mm) biela lesk</v>
      </c>
      <c r="H732" s="575">
        <v>3000</v>
      </c>
      <c r="I732" s="575" t="str">
        <f t="shared" si="64"/>
        <v>3000-biela lesk</v>
      </c>
    </row>
    <row r="733" spans="1:9" s="575" customFormat="1" ht="15" customHeight="1">
      <c r="A733" s="575">
        <v>394267</v>
      </c>
      <c r="C733" s="575" t="str">
        <f t="shared" si="63"/>
        <v>2000-biela lesk</v>
      </c>
      <c r="D733" s="575">
        <v>394267</v>
      </c>
      <c r="E733" s="573" t="str">
        <f>+VLOOKUP(A733,cennik!$A:$G,2,FALSE)</f>
        <v>SEVROLL hor.vod.lišta Simple 2m (18mm) biela lesk</v>
      </c>
      <c r="F733" s="573" t="str">
        <f>+VLOOKUP(A733,cennik!A:B,2,FALSE)</f>
        <v>SEVROLL hor.vod.lišta Simple 2m (18mm) biela lesk</v>
      </c>
      <c r="H733" s="575">
        <v>2000</v>
      </c>
      <c r="I733" s="575" t="str">
        <f t="shared" si="64"/>
        <v>2000-biela lesk</v>
      </c>
    </row>
    <row r="734" spans="1:9" ht="15" customHeight="1">
      <c r="A734" s="575">
        <v>394270</v>
      </c>
      <c r="B734" s="575"/>
      <c r="C734" s="575" t="str">
        <f t="shared" si="63"/>
        <v>3000-biela lesk</v>
      </c>
      <c r="D734" s="575">
        <v>394270</v>
      </c>
      <c r="E734" s="573" t="str">
        <f>+VLOOKUP(A734,cennik!$A:$G,2,FALSE)</f>
        <v>SEVROLL hor.vod.lišta Simple 3m(18mm) biela lesk</v>
      </c>
      <c r="F734" s="573" t="str">
        <f>+VLOOKUP(A734,cennik!A:B,2,FALSE)</f>
        <v>SEVROLL hor.vod.lišta Simple 3m(18mm) biela lesk</v>
      </c>
      <c r="G734" s="575"/>
      <c r="H734" s="575">
        <v>3000</v>
      </c>
      <c r="I734" s="575" t="str">
        <f t="shared" si="64"/>
        <v>3000-biela lesk</v>
      </c>
    </row>
    <row r="735" spans="1:9" ht="15" customHeight="1">
      <c r="A735" s="575">
        <v>394273</v>
      </c>
      <c r="B735" s="575"/>
      <c r="C735" s="575" t="str">
        <f t="shared" si="63"/>
        <v>3000-biela lesk</v>
      </c>
      <c r="D735" s="575">
        <v>394273</v>
      </c>
      <c r="E735" s="573" t="str">
        <f>+VLOOKUP(A735,cennik!$A:$G,2,FALSE)</f>
        <v>SEVROLL spoj.lišta Simple H21 3m(18mm) biela lesk</v>
      </c>
      <c r="F735" s="573" t="str">
        <f>+VLOOKUP(A735,cennik!A:B,2,FALSE)</f>
        <v>SEVROLL spoj.lišta Simple H21 3m(18mm) biela lesk</v>
      </c>
      <c r="G735" s="575"/>
      <c r="H735" s="575">
        <v>3000</v>
      </c>
      <c r="I735" s="575" t="str">
        <f t="shared" si="64"/>
        <v>3000-biela lesk</v>
      </c>
    </row>
    <row r="736" spans="1:9" ht="15" customHeight="1">
      <c r="A736" s="575">
        <v>394281</v>
      </c>
      <c r="B736" s="575"/>
      <c r="C736" s="575" t="str">
        <f t="shared" si="63"/>
        <v>3000-biela lesk</v>
      </c>
      <c r="D736" s="575">
        <v>394281</v>
      </c>
      <c r="E736" s="573" t="str">
        <f>+VLOOKUP(A736,cennik!$A:$G,2,FALSE)</f>
        <v>SEVROLL spojovacia lišta Simple / Blue H28 3m (18mm) biela lesk</v>
      </c>
      <c r="F736" s="573" t="str">
        <f>+VLOOKUP(A736,cennik!A:B,2,FALSE)</f>
        <v>SEVROLL spojovacia lišta Simple / Blue H28 3m (18mm) biela lesk</v>
      </c>
      <c r="G736" s="575"/>
      <c r="H736" s="575">
        <v>3000</v>
      </c>
      <c r="I736" s="575" t="str">
        <f t="shared" si="64"/>
        <v>3000-biela lesk</v>
      </c>
    </row>
  </sheetData>
  <autoFilter ref="A2:F687" xr:uid="{00000000-0009-0000-0000-000003000000}"/>
  <sortState xmlns:xlrd2="http://schemas.microsoft.com/office/spreadsheetml/2017/richdata2" ref="A715:I725">
    <sortCondition ref="E715:E725"/>
  </sortState>
  <phoneticPr fontId="0" type="noConversion"/>
  <conditionalFormatting sqref="A211:A215">
    <cfRule type="duplicateValues" dxfId="341" priority="106"/>
  </conditionalFormatting>
  <conditionalFormatting sqref="D211:D215">
    <cfRule type="duplicateValues" dxfId="340" priority="105"/>
  </conditionalFormatting>
  <conditionalFormatting sqref="A216:A219">
    <cfRule type="duplicateValues" dxfId="339" priority="104"/>
  </conditionalFormatting>
  <conditionalFormatting sqref="A74:A78">
    <cfRule type="duplicateValues" dxfId="338" priority="102"/>
  </conditionalFormatting>
  <conditionalFormatting sqref="D74:D78">
    <cfRule type="duplicateValues" dxfId="337" priority="103"/>
  </conditionalFormatting>
  <conditionalFormatting sqref="A160:A164">
    <cfRule type="duplicateValues" dxfId="336" priority="99"/>
  </conditionalFormatting>
  <conditionalFormatting sqref="D160:D164">
    <cfRule type="duplicateValues" dxfId="335" priority="100"/>
  </conditionalFormatting>
  <conditionalFormatting sqref="A710:A711">
    <cfRule type="duplicateValues" dxfId="334" priority="97"/>
  </conditionalFormatting>
  <conditionalFormatting sqref="A595">
    <cfRule type="duplicateValues" dxfId="333" priority="95"/>
  </conditionalFormatting>
  <conditionalFormatting sqref="D595">
    <cfRule type="duplicateValues" dxfId="332" priority="96"/>
  </conditionalFormatting>
  <conditionalFormatting sqref="A288:A289">
    <cfRule type="duplicateValues" dxfId="331" priority="92"/>
  </conditionalFormatting>
  <conditionalFormatting sqref="D288:D289">
    <cfRule type="duplicateValues" dxfId="330" priority="93"/>
  </conditionalFormatting>
  <conditionalFormatting sqref="A290">
    <cfRule type="duplicateValues" dxfId="329" priority="91"/>
  </conditionalFormatting>
  <conditionalFormatting sqref="A291:A292">
    <cfRule type="duplicateValues" dxfId="328" priority="90"/>
  </conditionalFormatting>
  <conditionalFormatting sqref="A293">
    <cfRule type="duplicateValues" dxfId="327" priority="88"/>
  </conditionalFormatting>
  <conditionalFormatting sqref="D293">
    <cfRule type="duplicateValues" dxfId="326" priority="89"/>
  </conditionalFormatting>
  <conditionalFormatting sqref="A338:A345">
    <cfRule type="duplicateValues" dxfId="325" priority="86"/>
  </conditionalFormatting>
  <conditionalFormatting sqref="D338:D341">
    <cfRule type="duplicateValues" dxfId="324" priority="87"/>
  </conditionalFormatting>
  <conditionalFormatting sqref="A397:A398">
    <cfRule type="duplicateValues" dxfId="323" priority="85"/>
  </conditionalFormatting>
  <conditionalFormatting sqref="A406">
    <cfRule type="duplicateValues" dxfId="322" priority="83"/>
  </conditionalFormatting>
  <conditionalFormatting sqref="D406">
    <cfRule type="duplicateValues" dxfId="321" priority="84"/>
  </conditionalFormatting>
  <conditionalFormatting sqref="A357:A358 A353:A354">
    <cfRule type="duplicateValues" dxfId="320" priority="236"/>
  </conditionalFormatting>
  <conditionalFormatting sqref="A294">
    <cfRule type="duplicateValues" dxfId="319" priority="81"/>
  </conditionalFormatting>
  <conditionalFormatting sqref="A367">
    <cfRule type="duplicateValues" dxfId="318" priority="80"/>
  </conditionalFormatting>
  <conditionalFormatting sqref="A220:A224">
    <cfRule type="duplicateValues" dxfId="317" priority="79"/>
  </conditionalFormatting>
  <conditionalFormatting sqref="A84:A88">
    <cfRule type="duplicateValues" dxfId="316" priority="78"/>
  </conditionalFormatting>
  <conditionalFormatting sqref="A79:A83">
    <cfRule type="duplicateValues" dxfId="315" priority="249"/>
  </conditionalFormatting>
  <conditionalFormatting sqref="A170:A174">
    <cfRule type="duplicateValues" dxfId="314" priority="77"/>
  </conditionalFormatting>
  <conditionalFormatting sqref="A165:A169">
    <cfRule type="duplicateValues" dxfId="313" priority="262"/>
  </conditionalFormatting>
  <conditionalFormatting sqref="A714">
    <cfRule type="duplicateValues" dxfId="312" priority="76"/>
  </conditionalFormatting>
  <conditionalFormatting sqref="A461">
    <cfRule type="duplicateValues" dxfId="311" priority="75"/>
  </conditionalFormatting>
  <conditionalFormatting sqref="A490">
    <cfRule type="duplicateValues" dxfId="310" priority="74"/>
  </conditionalFormatting>
  <conditionalFormatting sqref="A501">
    <cfRule type="duplicateValues" dxfId="309" priority="73"/>
  </conditionalFormatting>
  <conditionalFormatting sqref="A511">
    <cfRule type="duplicateValues" dxfId="308" priority="72"/>
  </conditionalFormatting>
  <conditionalFormatting sqref="A521">
    <cfRule type="duplicateValues" dxfId="307" priority="71"/>
  </conditionalFormatting>
  <conditionalFormatting sqref="A541">
    <cfRule type="duplicateValues" dxfId="306" priority="70"/>
  </conditionalFormatting>
  <conditionalFormatting sqref="A551">
    <cfRule type="duplicateValues" dxfId="305" priority="69"/>
  </conditionalFormatting>
  <conditionalFormatting sqref="A560">
    <cfRule type="duplicateValues" dxfId="304" priority="68"/>
  </conditionalFormatting>
  <conditionalFormatting sqref="A570">
    <cfRule type="duplicateValues" dxfId="303" priority="67"/>
  </conditionalFormatting>
  <conditionalFormatting sqref="A469">
    <cfRule type="duplicateValues" dxfId="302" priority="66"/>
  </conditionalFormatting>
  <conditionalFormatting sqref="A479:A480">
    <cfRule type="duplicateValues" dxfId="301" priority="65"/>
  </conditionalFormatting>
  <conditionalFormatting sqref="A487:A488">
    <cfRule type="duplicateValues" dxfId="300" priority="64"/>
  </conditionalFormatting>
  <conditionalFormatting sqref="A712:A713 A225:A233 A1:A73 A89:A159 A175:A204 A600:A664 A295:A305 A347:A352 A355:A356 A399:A405 A359:A366 A368:A382 A407:A408 A715:A1048576 A462:A468 A491:A499 A502:A507 A512:A518 A522:A526 A542:A545 A552:A555 A561:A564 A571:A594 A470:A478 A481:A486 A489 A510 A520 A529:A535 A538:A540 A548:A550 A558:A559 A567:A569 A667:A700 A238:A246 A251:A287 A450:A460 A410:A411 A413:A448 A309:A337 A386:A396 A709 A702:A706 A206:A210">
    <cfRule type="duplicateValues" dxfId="299" priority="263"/>
  </conditionalFormatting>
  <conditionalFormatting sqref="A509">
    <cfRule type="duplicateValues" dxfId="298" priority="62"/>
  </conditionalFormatting>
  <conditionalFormatting sqref="A508">
    <cfRule type="duplicateValues" dxfId="297" priority="61"/>
  </conditionalFormatting>
  <conditionalFormatting sqref="A519">
    <cfRule type="duplicateValues" dxfId="296" priority="60"/>
  </conditionalFormatting>
  <conditionalFormatting sqref="D527">
    <cfRule type="duplicateValues" dxfId="295" priority="58"/>
  </conditionalFormatting>
  <conditionalFormatting sqref="A527:A528">
    <cfRule type="duplicateValues" dxfId="294" priority="59"/>
  </conditionalFormatting>
  <conditionalFormatting sqref="D536">
    <cfRule type="duplicateValues" dxfId="293" priority="56"/>
  </conditionalFormatting>
  <conditionalFormatting sqref="A536:A537">
    <cfRule type="duplicateValues" dxfId="292" priority="57"/>
  </conditionalFormatting>
  <conditionalFormatting sqref="D715:D717 D518 D459">
    <cfRule type="duplicateValues" dxfId="291" priority="297"/>
  </conditionalFormatting>
  <conditionalFormatting sqref="A546:A547">
    <cfRule type="duplicateValues" dxfId="290" priority="55"/>
  </conditionalFormatting>
  <conditionalFormatting sqref="A556:A557">
    <cfRule type="duplicateValues" dxfId="289" priority="54"/>
  </conditionalFormatting>
  <conditionalFormatting sqref="A565:A566">
    <cfRule type="duplicateValues" dxfId="288" priority="53"/>
  </conditionalFormatting>
  <conditionalFormatting sqref="A500">
    <cfRule type="duplicateValues" dxfId="287" priority="52"/>
  </conditionalFormatting>
  <conditionalFormatting sqref="A665:A666">
    <cfRule type="duplicateValues" dxfId="286" priority="51"/>
  </conditionalFormatting>
  <conditionalFormatting sqref="A709:A1048576 A450:A700 A238:A246 A1:A204 A251:A305 A410:A411 A413:A448 A309:A382 A386:A408 A702:A706 A206:A233">
    <cfRule type="duplicateValues" dxfId="285" priority="50"/>
  </conditionalFormatting>
  <conditionalFormatting sqref="A235:A237">
    <cfRule type="duplicateValues" dxfId="284" priority="47"/>
  </conditionalFormatting>
  <conditionalFormatting sqref="A235:A237">
    <cfRule type="duplicateValues" dxfId="283" priority="46"/>
  </conditionalFormatting>
  <conditionalFormatting sqref="D235:D237">
    <cfRule type="duplicateValues" dxfId="282" priority="45"/>
  </conditionalFormatting>
  <conditionalFormatting sqref="D235:D237">
    <cfRule type="duplicateValues" dxfId="281" priority="44"/>
  </conditionalFormatting>
  <conditionalFormatting sqref="A234">
    <cfRule type="duplicateValues" dxfId="280" priority="43"/>
  </conditionalFormatting>
  <conditionalFormatting sqref="A234">
    <cfRule type="duplicateValues" dxfId="279" priority="42"/>
  </conditionalFormatting>
  <conditionalFormatting sqref="D234">
    <cfRule type="duplicateValues" dxfId="278" priority="41"/>
  </conditionalFormatting>
  <conditionalFormatting sqref="D234">
    <cfRule type="duplicateValues" dxfId="277" priority="40"/>
  </conditionalFormatting>
  <conditionalFormatting sqref="A247:A249">
    <cfRule type="duplicateValues" dxfId="276" priority="39"/>
  </conditionalFormatting>
  <conditionalFormatting sqref="A247:A249">
    <cfRule type="duplicateValues" dxfId="275" priority="38"/>
  </conditionalFormatting>
  <conditionalFormatting sqref="D247:D249">
    <cfRule type="duplicateValues" dxfId="274" priority="37"/>
  </conditionalFormatting>
  <conditionalFormatting sqref="D247:D249">
    <cfRule type="duplicateValues" dxfId="273" priority="36"/>
  </conditionalFormatting>
  <conditionalFormatting sqref="A250">
    <cfRule type="duplicateValues" dxfId="272" priority="35"/>
  </conditionalFormatting>
  <conditionalFormatting sqref="A250">
    <cfRule type="duplicateValues" dxfId="271" priority="34"/>
  </conditionalFormatting>
  <conditionalFormatting sqref="D250">
    <cfRule type="duplicateValues" dxfId="270" priority="33"/>
  </conditionalFormatting>
  <conditionalFormatting sqref="D250">
    <cfRule type="duplicateValues" dxfId="269" priority="32"/>
  </conditionalFormatting>
  <conditionalFormatting sqref="D730:D736">
    <cfRule type="duplicateValues" dxfId="268" priority="341"/>
  </conditionalFormatting>
  <conditionalFormatting sqref="A449">
    <cfRule type="duplicateValues" dxfId="267" priority="30"/>
  </conditionalFormatting>
  <conditionalFormatting sqref="A449">
    <cfRule type="duplicateValues" dxfId="266" priority="29"/>
  </conditionalFormatting>
  <conditionalFormatting sqref="D449">
    <cfRule type="duplicateValues" dxfId="265" priority="31"/>
  </conditionalFormatting>
  <conditionalFormatting sqref="A409">
    <cfRule type="duplicateValues" dxfId="264" priority="27"/>
  </conditionalFormatting>
  <conditionalFormatting sqref="A409">
    <cfRule type="duplicateValues" dxfId="263" priority="26"/>
  </conditionalFormatting>
  <conditionalFormatting sqref="D409">
    <cfRule type="duplicateValues" dxfId="262" priority="28"/>
  </conditionalFormatting>
  <conditionalFormatting sqref="A412">
    <cfRule type="duplicateValues" dxfId="261" priority="24"/>
  </conditionalFormatting>
  <conditionalFormatting sqref="A412">
    <cfRule type="duplicateValues" dxfId="260" priority="23"/>
  </conditionalFormatting>
  <conditionalFormatting sqref="D412">
    <cfRule type="duplicateValues" dxfId="259" priority="25"/>
  </conditionalFormatting>
  <conditionalFormatting sqref="A307:A308">
    <cfRule type="duplicateValues" dxfId="258" priority="21"/>
  </conditionalFormatting>
  <conditionalFormatting sqref="A307:A308">
    <cfRule type="duplicateValues" dxfId="257" priority="20"/>
  </conditionalFormatting>
  <conditionalFormatting sqref="D307:D308">
    <cfRule type="duplicateValues" dxfId="256" priority="22"/>
  </conditionalFormatting>
  <conditionalFormatting sqref="A306">
    <cfRule type="duplicateValues" dxfId="255" priority="18"/>
  </conditionalFormatting>
  <conditionalFormatting sqref="A306">
    <cfRule type="duplicateValues" dxfId="254" priority="17"/>
  </conditionalFormatting>
  <conditionalFormatting sqref="D306">
    <cfRule type="duplicateValues" dxfId="253" priority="19"/>
  </conditionalFormatting>
  <conditionalFormatting sqref="A384:A385">
    <cfRule type="duplicateValues" dxfId="252" priority="15"/>
  </conditionalFormatting>
  <conditionalFormatting sqref="A384:A385">
    <cfRule type="duplicateValues" dxfId="251" priority="14"/>
  </conditionalFormatting>
  <conditionalFormatting sqref="D384:D385">
    <cfRule type="duplicateValues" dxfId="250" priority="16"/>
  </conditionalFormatting>
  <conditionalFormatting sqref="A383">
    <cfRule type="duplicateValues" dxfId="249" priority="12"/>
  </conditionalFormatting>
  <conditionalFormatting sqref="A383">
    <cfRule type="duplicateValues" dxfId="248" priority="11"/>
  </conditionalFormatting>
  <conditionalFormatting sqref="D383">
    <cfRule type="duplicateValues" dxfId="247" priority="13"/>
  </conditionalFormatting>
  <conditionalFormatting sqref="A708">
    <cfRule type="duplicateValues" dxfId="246" priority="10"/>
  </conditionalFormatting>
  <conditionalFormatting sqref="A708">
    <cfRule type="duplicateValues" dxfId="245" priority="9"/>
  </conditionalFormatting>
  <conditionalFormatting sqref="D417:D418">
    <cfRule type="duplicateValues" dxfId="244" priority="8"/>
  </conditionalFormatting>
  <conditionalFormatting sqref="D417:D418">
    <cfRule type="duplicateValues" dxfId="243" priority="7"/>
  </conditionalFormatting>
  <conditionalFormatting sqref="A596:A599">
    <cfRule type="duplicateValues" dxfId="242" priority="342"/>
  </conditionalFormatting>
  <conditionalFormatting sqref="D597:D599">
    <cfRule type="duplicateValues" dxfId="241" priority="5"/>
  </conditionalFormatting>
  <conditionalFormatting sqref="D597:D599">
    <cfRule type="duplicateValues" dxfId="240" priority="6"/>
  </conditionalFormatting>
  <conditionalFormatting sqref="A205">
    <cfRule type="duplicateValues" dxfId="239" priority="4"/>
  </conditionalFormatting>
  <conditionalFormatting sqref="A205">
    <cfRule type="duplicateValues" dxfId="238" priority="3"/>
  </conditionalFormatting>
  <conditionalFormatting sqref="D205">
    <cfRule type="duplicateValues" dxfId="237" priority="2"/>
  </conditionalFormatting>
  <conditionalFormatting sqref="D205">
    <cfRule type="duplicateValues" dxfId="236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3"/>
  <sheetViews>
    <sheetView showGridLines="0" zoomScale="85" zoomScaleNormal="85" workbookViewId="0">
      <selection activeCell="C4" sqref="C4"/>
    </sheetView>
  </sheetViews>
  <sheetFormatPr baseColWidth="10" defaultColWidth="0" defaultRowHeight="12.75" customHeight="1" zeroHeight="1"/>
  <cols>
    <col min="1" max="1" width="39.5" style="21" customWidth="1"/>
    <col min="2" max="2" width="15.83203125" style="21" customWidth="1"/>
    <col min="3" max="3" width="40.33203125" style="21" customWidth="1"/>
    <col min="4" max="7" width="14.6640625" style="21" customWidth="1"/>
    <col min="8" max="8" width="8.1640625" style="21" bestFit="1" customWidth="1"/>
    <col min="9" max="9" width="24.83203125" style="24" customWidth="1"/>
    <col min="10" max="11" width="13.83203125" style="24" hidden="1" customWidth="1"/>
    <col min="12" max="12" width="9.1640625" style="21" hidden="1" customWidth="1"/>
    <col min="13" max="13" width="8.1640625" style="21" hidden="1" customWidth="1"/>
    <col min="14" max="14" width="11.5" style="21" hidden="1" customWidth="1"/>
    <col min="15" max="15" width="7.1640625" style="21" hidden="1" customWidth="1"/>
    <col min="16" max="16" width="8.6640625" style="21" hidden="1" customWidth="1"/>
    <col min="17" max="17" width="7.1640625" style="21" hidden="1" customWidth="1"/>
    <col min="18" max="22" width="0" style="21" hidden="1" customWidth="1"/>
    <col min="23" max="16384" width="9.1640625" style="21" hidden="1"/>
  </cols>
  <sheetData>
    <row r="1" spans="1:22" ht="13.5" customHeight="1" thickBot="1">
      <c r="A1" s="436"/>
      <c r="B1" s="17"/>
      <c r="C1" s="17"/>
      <c r="D1" s="17"/>
      <c r="E1" s="17"/>
      <c r="F1" s="17"/>
      <c r="G1" s="24"/>
      <c r="H1" s="24"/>
      <c r="L1" s="24">
        <v>2</v>
      </c>
      <c r="M1" s="21">
        <v>-8.75</v>
      </c>
    </row>
    <row r="2" spans="1:22" ht="18.75" customHeight="1">
      <c r="A2" s="538" t="s">
        <v>45</v>
      </c>
      <c r="B2" s="433" t="str">
        <f>profil!T7</f>
        <v>Zákazník:, , IČO:</v>
      </c>
      <c r="C2" s="17"/>
      <c r="D2" s="17"/>
      <c r="E2" s="17"/>
      <c r="F2" s="17"/>
      <c r="G2" s="24"/>
      <c r="H2" s="24"/>
      <c r="L2" s="24">
        <v>3</v>
      </c>
    </row>
    <row r="3" spans="1:22" ht="28.5" customHeight="1" thickBot="1">
      <c r="A3" s="539" t="str">
        <f>CONCATENATE(texty!A243," ",5,".",49)</f>
        <v>katalóg kovania 2018 str. 5.49</v>
      </c>
      <c r="B3" s="434" t="str">
        <f>CONCATENATE(texty!A34," / max.          2 740 mm /")</f>
        <v>výška / max.          2 740 mm /</v>
      </c>
      <c r="C3" s="435" t="str">
        <f>CONCATENATE(texty!A35," / max 6 000 mm /")</f>
        <v>šírka / max 6 000 mm /</v>
      </c>
      <c r="D3" s="435" t="str">
        <f>+System10!D3</f>
        <v>počet dverí:</v>
      </c>
      <c r="E3" s="435" t="str">
        <f>+System10!E3</f>
        <v>farba</v>
      </c>
      <c r="F3" s="434" t="str">
        <f>texty!B38</f>
        <v>typ spodního vedení</v>
      </c>
      <c r="G3" s="24"/>
      <c r="H3" s="24"/>
      <c r="L3" s="24"/>
    </row>
    <row r="4" spans="1:22" ht="18" customHeight="1">
      <c r="A4" s="437" t="str">
        <f>+System10!A4</f>
        <v>VNÚTORNÝ ROZMER SKRINE:</v>
      </c>
      <c r="B4" s="470"/>
      <c r="C4" s="470"/>
      <c r="D4" s="471">
        <v>3</v>
      </c>
      <c r="E4" s="471" t="s">
        <v>416</v>
      </c>
      <c r="F4" s="472" t="s">
        <v>2884</v>
      </c>
      <c r="G4" s="653"/>
      <c r="H4" s="653"/>
      <c r="I4" s="653"/>
      <c r="K4" s="17">
        <f>IF(C4&lt;1701,1700,IF(C4&lt;2351,2350,IF(C4&lt;3001,3000,IF(C4&lt;4051,4050,6000))))</f>
        <v>1700</v>
      </c>
      <c r="M4" s="17">
        <f>IF(C4&lt;1701,1700,IF(C4&lt;2351,2350,IF(C4&lt;3001,3000,IF(C4&lt;4051,4050,6000))))</f>
        <v>1700</v>
      </c>
    </row>
    <row r="5" spans="1:22" ht="18" customHeight="1">
      <c r="A5" s="437"/>
      <c r="B5" s="649" t="str">
        <f>+System10!$B$5</f>
        <v>vypíšte týchto 5 políčok !!! Údaje v mm</v>
      </c>
      <c r="C5" s="649"/>
      <c r="D5" s="649"/>
      <c r="E5" s="649"/>
      <c r="F5" s="649"/>
      <c r="G5" s="653"/>
      <c r="H5" s="653"/>
      <c r="I5" s="653"/>
      <c r="K5" s="23" t="str">
        <f>CONCATENATE(K4,"-",E4)</f>
        <v xml:space="preserve">1700-strieborná </v>
      </c>
      <c r="M5" s="23" t="str">
        <f>CONCATENATE(M4,"-",E4,", ",F4)</f>
        <v>1700-strieborná , Elegant II</v>
      </c>
    </row>
    <row r="6" spans="1:22" ht="18" customHeight="1">
      <c r="A6" s="437"/>
      <c r="B6" s="445" t="str">
        <f>IF(D4=4,texty!A227,"")</f>
        <v/>
      </c>
      <c r="D6" s="457">
        <v>3</v>
      </c>
      <c r="E6" s="17"/>
      <c r="F6" s="17"/>
      <c r="G6" s="653"/>
      <c r="H6" s="653"/>
      <c r="I6" s="653"/>
      <c r="K6" s="475"/>
      <c r="L6" s="24"/>
      <c r="R6" s="654" t="s">
        <v>646</v>
      </c>
      <c r="S6" s="654" t="s">
        <v>647</v>
      </c>
      <c r="T6" s="654" t="s">
        <v>648</v>
      </c>
      <c r="U6" s="654" t="s">
        <v>649</v>
      </c>
    </row>
    <row r="7" spans="1:22" ht="12.75" customHeight="1">
      <c r="A7" s="437" t="str">
        <f>+System10!A7</f>
        <v>krídlo dverí:</v>
      </c>
      <c r="B7" s="57">
        <f>+B4-40</f>
        <v>-40</v>
      </c>
      <c r="C7" s="59">
        <f>+((C4-3+(32*(D4-1)))/D4+IF(AND(D4=4,D6=2),M1,0))</f>
        <v>20.333333333333332</v>
      </c>
      <c r="D7" s="17"/>
      <c r="E7" s="17"/>
      <c r="F7" s="17"/>
      <c r="G7" s="448" t="str">
        <f>texty!$A$39</f>
        <v>V prípade použitia skla ako výplne</v>
      </c>
      <c r="H7" s="24"/>
      <c r="L7" s="24"/>
      <c r="O7" s="17">
        <f>IF(L11="jiné",M12,L11)</f>
        <v>1700</v>
      </c>
      <c r="P7" s="21" t="str">
        <f>+E4</f>
        <v xml:space="preserve">strieborná </v>
      </c>
      <c r="R7" s="654"/>
      <c r="S7" s="654"/>
      <c r="T7" s="654"/>
      <c r="U7" s="654"/>
    </row>
    <row r="8" spans="1:22" ht="12.75" customHeight="1">
      <c r="A8" s="437" t="str">
        <f>+System10!A8</f>
        <v>rozmer výplne 10 mm:</v>
      </c>
      <c r="B8" s="57">
        <f>+B7-64</f>
        <v>-104</v>
      </c>
      <c r="C8" s="59">
        <f>+C7-46</f>
        <v>-25.666666666666668</v>
      </c>
      <c r="D8" s="17"/>
      <c r="E8" s="17"/>
      <c r="F8" s="17"/>
      <c r="G8" s="448" t="str">
        <f>texty!$A$40</f>
        <v>je treba použiť bezpečnostné sklo</v>
      </c>
      <c r="H8" s="24"/>
      <c r="L8" s="24" t="s">
        <v>73</v>
      </c>
      <c r="M8" s="21" t="s">
        <v>74</v>
      </c>
      <c r="O8" s="23" t="str">
        <f>CONCATENATE(O7,"-",E4)</f>
        <v xml:space="preserve">1700-strieborná </v>
      </c>
      <c r="Q8" s="21">
        <v>1</v>
      </c>
      <c r="R8" s="476">
        <f>$C$10+5</f>
        <v>-36.666666666666671</v>
      </c>
      <c r="S8" s="21">
        <f>FLOOR(1700/R8,1)</f>
        <v>-47</v>
      </c>
      <c r="T8" s="21">
        <f>FLOOR(2350/R8,1)</f>
        <v>-65</v>
      </c>
      <c r="U8" s="21">
        <f>FLOOR(3000/R8,1)</f>
        <v>-82</v>
      </c>
    </row>
    <row r="9" spans="1:22" ht="12.75" customHeight="1">
      <c r="A9" s="437" t="str">
        <f>+System10!A9</f>
        <v>rozmer zrkadla / skla</v>
      </c>
      <c r="B9" s="57">
        <f>+B8</f>
        <v>-104</v>
      </c>
      <c r="C9" s="59">
        <f>+C8-4</f>
        <v>-29.666666666666668</v>
      </c>
      <c r="D9" s="17"/>
      <c r="E9" s="17"/>
      <c r="F9" s="17"/>
      <c r="G9" s="448" t="str">
        <f>texty!$A$41</f>
        <v>alebo sklo zabezpečiť ochrannou fóliou</v>
      </c>
      <c r="H9" s="24"/>
      <c r="L9" s="477">
        <f>C10*D4</f>
        <v>-125.00000000000001</v>
      </c>
      <c r="M9" s="478">
        <f>(D4+1)*5</f>
        <v>20</v>
      </c>
      <c r="Q9" s="21">
        <v>2</v>
      </c>
      <c r="R9" s="476">
        <f t="shared" ref="R9:R14" si="0">R8+$C$10+5</f>
        <v>-73.333333333333343</v>
      </c>
      <c r="S9" s="21">
        <f>(1700-C10)*S17</f>
        <v>-1741.6666666666667</v>
      </c>
      <c r="T9" s="21">
        <f>(2350-C10)*T17</f>
        <v>-2391.6666666666665</v>
      </c>
      <c r="U9" s="21">
        <f>(3000-C10)*U17</f>
        <v>-3041.6666666666665</v>
      </c>
      <c r="V9" s="21" t="s">
        <v>651</v>
      </c>
    </row>
    <row r="10" spans="1:22" ht="12.75" customHeight="1">
      <c r="A10" s="437" t="str">
        <f>+System10!A10</f>
        <v>dĺžka vodiacej a krycej lišty krídla</v>
      </c>
      <c r="B10" s="57"/>
      <c r="C10" s="60">
        <f>+C7-62</f>
        <v>-41.666666666666671</v>
      </c>
      <c r="D10" s="17"/>
      <c r="E10" s="17"/>
      <c r="F10" s="17"/>
      <c r="G10" s="449"/>
      <c r="H10" s="24"/>
      <c r="L10" s="21" t="s">
        <v>72</v>
      </c>
      <c r="O10" s="17" t="str">
        <f>IF(L11="jiné",M13,"")</f>
        <v/>
      </c>
      <c r="P10" s="21" t="str">
        <f>+E4</f>
        <v xml:space="preserve">strieborná </v>
      </c>
      <c r="Q10" s="21">
        <v>3</v>
      </c>
      <c r="R10" s="476">
        <f t="shared" si="0"/>
        <v>-110.00000000000001</v>
      </c>
    </row>
    <row r="11" spans="1:22" ht="12.75" customHeight="1">
      <c r="A11" s="437" t="str">
        <f>+System10!$A$11</f>
        <v>Horný/spodný profil</v>
      </c>
      <c r="B11" s="57"/>
      <c r="C11" s="194">
        <f>+C4</f>
        <v>0</v>
      </c>
      <c r="D11" s="17"/>
      <c r="E11" s="17"/>
      <c r="F11" s="17"/>
      <c r="G11" s="23" t="str">
        <f>texty!$A$43</f>
        <v>Maximálna hmotnosť krídla je 50 kg</v>
      </c>
      <c r="H11" s="24"/>
      <c r="L11" s="478">
        <f>IF((L9+M9)&lt;1700,1700,IF((L9+M9)&lt;2350,2350,IF((L9+M9)&lt;3000,3000,"jiné")))</f>
        <v>1700</v>
      </c>
      <c r="N11" s="21" t="s">
        <v>75</v>
      </c>
      <c r="O11" s="23" t="str">
        <f>CONCATENATE(O10,"-",E4)</f>
        <v xml:space="preserve">-strieborná </v>
      </c>
      <c r="Q11" s="21">
        <v>4</v>
      </c>
      <c r="R11" s="476">
        <f t="shared" si="0"/>
        <v>-146.66666666666669</v>
      </c>
    </row>
    <row r="12" spans="1:22" ht="12.75" customHeight="1">
      <c r="A12" s="437" t="str">
        <f>+System10!A12</f>
        <v>úchytková lišta</v>
      </c>
      <c r="B12" s="502">
        <f>+B7</f>
        <v>-40</v>
      </c>
      <c r="C12" s="503"/>
      <c r="D12" s="17"/>
      <c r="E12" s="17"/>
      <c r="F12" s="17"/>
      <c r="G12" s="24"/>
      <c r="H12" s="24"/>
      <c r="L12" s="24">
        <f>C10*(D4-1)+(D4*5)</f>
        <v>-68.333333333333343</v>
      </c>
      <c r="M12" s="21">
        <f>IF(L12&lt;1700,1700,IF(L12&lt;2350,2350,IF(L12&lt;3000,3000,3000)))</f>
        <v>1700</v>
      </c>
      <c r="N12" s="21">
        <f>M12-L12</f>
        <v>1768.3333333333333</v>
      </c>
      <c r="Q12" s="21">
        <v>5</v>
      </c>
      <c r="R12" s="476">
        <f t="shared" si="0"/>
        <v>-183.33333333333337</v>
      </c>
    </row>
    <row r="13" spans="1:22" ht="12.75" customHeight="1">
      <c r="A13" s="436" t="str">
        <f>System10!A13</f>
        <v>Dĺžka tesnenia na sklo na jednom krídle</v>
      </c>
      <c r="B13" s="65"/>
      <c r="C13" s="505">
        <f>ROUND(B9*2+C9*2,0)</f>
        <v>-267</v>
      </c>
      <c r="D13" s="17"/>
      <c r="E13" s="17"/>
      <c r="F13" s="17"/>
      <c r="G13" s="24"/>
      <c r="H13" s="24"/>
      <c r="L13" s="479">
        <f>C10+10</f>
        <v>-31.666666666666671</v>
      </c>
      <c r="M13" s="21">
        <f>IF(N12&gt;=0,IF(L13&lt;1700,1700,IF(L13&lt;2350,2350,IF(L13&lt;3000,3000,"jiné"))),IF((L13+C10)&lt;1700,1700,IF((L13+C10)&lt;2350,2350,IF((L13+C10)&lt;3000,3000,"jiné"))))</f>
        <v>1700</v>
      </c>
      <c r="N13" s="21">
        <f>M13-L13</f>
        <v>1731.6666666666667</v>
      </c>
      <c r="Q13" s="21">
        <v>6</v>
      </c>
      <c r="R13" s="476">
        <f t="shared" si="0"/>
        <v>-220.00000000000006</v>
      </c>
    </row>
    <row r="14" spans="1:22" ht="26">
      <c r="A14" s="644" t="str">
        <f>IF(SUM(D47:D48)&gt;0,texty!A245,"")</f>
        <v/>
      </c>
      <c r="B14" s="644"/>
      <c r="C14" s="504" t="str">
        <f>texty!A78</f>
        <v>dodatočné odpočty výšky vypočítaných výplní pri použití deliacich profilov výplne:</v>
      </c>
      <c r="D14" s="17"/>
      <c r="E14" s="17"/>
      <c r="F14" s="17"/>
      <c r="G14" s="24"/>
      <c r="H14" s="24"/>
      <c r="L14" s="24"/>
      <c r="M14" s="21">
        <f>SUM(M12:M13)</f>
        <v>3400</v>
      </c>
      <c r="N14" s="21">
        <f>SUM(N12:N13)</f>
        <v>3500</v>
      </c>
      <c r="Q14" s="21">
        <v>7</v>
      </c>
      <c r="R14" s="476">
        <f t="shared" si="0"/>
        <v>-256.66666666666674</v>
      </c>
    </row>
    <row r="15" spans="1:22" ht="18.75" customHeight="1">
      <c r="A15" s="644"/>
      <c r="B15" s="644"/>
      <c r="C15" s="504"/>
      <c r="D15" s="17"/>
      <c r="E15" s="17"/>
      <c r="F15" s="17"/>
      <c r="G15" s="24"/>
      <c r="H15" s="24"/>
      <c r="L15" s="24"/>
      <c r="R15" s="476"/>
    </row>
    <row r="16" spans="1:22" ht="13">
      <c r="A16" s="436"/>
      <c r="B16" s="17"/>
      <c r="C16" s="504"/>
      <c r="D16" s="17"/>
      <c r="E16" s="17"/>
      <c r="F16" s="17"/>
      <c r="G16" s="24"/>
      <c r="H16" s="24"/>
      <c r="L16" s="24"/>
      <c r="R16" s="476"/>
    </row>
    <row r="17" spans="1:22" ht="12.75" customHeight="1">
      <c r="A17" s="5"/>
      <c r="B17" s="17"/>
      <c r="C17" s="447"/>
      <c r="D17" s="17"/>
      <c r="E17" s="17"/>
      <c r="F17" s="17"/>
      <c r="G17" s="24"/>
      <c r="H17" s="24"/>
      <c r="L17" s="24"/>
      <c r="M17" s="21">
        <f>M14-C4</f>
        <v>3400</v>
      </c>
      <c r="Q17" s="21" t="s">
        <v>650</v>
      </c>
      <c r="S17" s="21">
        <f>FLOOR($D$4/S8,1)</f>
        <v>-1</v>
      </c>
      <c r="T17" s="21">
        <f>FLOOR($D$4/T8,1)</f>
        <v>-1</v>
      </c>
      <c r="U17" s="21">
        <f>FLOOR($D$4/U8,1)</f>
        <v>-1</v>
      </c>
    </row>
    <row r="18" spans="1:22" ht="22.5" customHeight="1">
      <c r="A18" s="436"/>
      <c r="B18" s="17"/>
      <c r="C18" s="447"/>
      <c r="D18" s="17"/>
      <c r="E18" s="17"/>
      <c r="F18" s="17"/>
      <c r="G18" s="24"/>
      <c r="H18" s="24"/>
      <c r="L18" s="24"/>
    </row>
    <row r="19" spans="1:22" ht="14.25" customHeight="1">
      <c r="A19" s="436"/>
      <c r="B19" s="498" t="str">
        <f>texty!A242</f>
        <v>dilatácia 4 mm</v>
      </c>
      <c r="C19" s="120"/>
      <c r="D19" s="17"/>
      <c r="E19" s="17"/>
      <c r="F19" s="17"/>
      <c r="G19" s="24"/>
      <c r="H19" s="24"/>
      <c r="I19" s="647" t="s">
        <v>2890</v>
      </c>
      <c r="L19" s="24"/>
    </row>
    <row r="20" spans="1:22" ht="16.5" customHeight="1">
      <c r="A20" s="436"/>
      <c r="B20" s="17"/>
      <c r="C20" s="17"/>
      <c r="E20" s="17"/>
      <c r="F20" s="17"/>
      <c r="G20" s="24"/>
      <c r="H20" s="24"/>
      <c r="I20" s="647"/>
      <c r="L20" s="24"/>
      <c r="M20" s="24"/>
      <c r="R20" s="21" t="s">
        <v>694</v>
      </c>
      <c r="S20" s="21" t="s">
        <v>693</v>
      </c>
      <c r="T20" s="21">
        <v>1700</v>
      </c>
      <c r="U20" s="21">
        <v>2350</v>
      </c>
      <c r="V20" s="21">
        <v>3000</v>
      </c>
    </row>
    <row r="21" spans="1:22" ht="16.5" customHeight="1">
      <c r="A21" s="436"/>
      <c r="B21" s="17"/>
      <c r="C21" s="17"/>
      <c r="D21" s="396"/>
      <c r="E21" s="17"/>
      <c r="F21" s="17"/>
      <c r="G21" s="24"/>
      <c r="H21" s="24"/>
      <c r="I21" s="648" t="s">
        <v>2891</v>
      </c>
      <c r="L21" s="24"/>
      <c r="Q21" s="21">
        <v>1</v>
      </c>
      <c r="R21" s="21">
        <f>S8</f>
        <v>-47</v>
      </c>
      <c r="S21" s="21" t="str">
        <f>IF(R21&gt;=D4,1,"")</f>
        <v/>
      </c>
      <c r="T21" s="480" t="str">
        <f>IF(S21=1,1,"")</f>
        <v/>
      </c>
      <c r="U21" s="480"/>
      <c r="V21" s="480"/>
    </row>
    <row r="22" spans="1:22" ht="13">
      <c r="A22" s="436"/>
      <c r="B22" s="17"/>
      <c r="C22" s="17"/>
      <c r="D22" s="17"/>
      <c r="E22" s="17"/>
      <c r="F22" s="17"/>
      <c r="G22" s="24"/>
      <c r="H22" s="24"/>
      <c r="I22" s="648"/>
      <c r="L22" s="23"/>
      <c r="Q22" s="21">
        <v>2</v>
      </c>
      <c r="R22" s="21">
        <f>T8</f>
        <v>-65</v>
      </c>
      <c r="S22" s="21" t="str">
        <f>IF(R22&gt;=D4,IF(S21=1,"",1),"")</f>
        <v/>
      </c>
      <c r="T22" s="480"/>
      <c r="U22" s="480" t="str">
        <f>IF(S22=1,1,"")</f>
        <v/>
      </c>
      <c r="V22" s="480"/>
    </row>
    <row r="23" spans="1:22" ht="12.75" customHeight="1">
      <c r="A23" s="436"/>
      <c r="B23" s="17"/>
      <c r="C23" s="17"/>
      <c r="D23" s="17"/>
      <c r="E23" s="17"/>
      <c r="F23" s="17"/>
      <c r="G23" s="24"/>
      <c r="H23" s="24"/>
      <c r="Q23" s="21">
        <v>3</v>
      </c>
      <c r="R23" s="21">
        <f>U8</f>
        <v>-82</v>
      </c>
      <c r="S23" s="21" t="str">
        <f>IF(R23&gt;=D4,IF(R22&gt;=D4,"",1),"")</f>
        <v/>
      </c>
      <c r="V23" s="480" t="str">
        <f>IF(S23=1,1,"")</f>
        <v/>
      </c>
    </row>
    <row r="24" spans="1:22" ht="12.75" customHeight="1">
      <c r="A24" s="436"/>
      <c r="B24" s="17"/>
      <c r="C24" s="17"/>
      <c r="D24" s="17"/>
      <c r="E24" s="17"/>
      <c r="F24" s="17"/>
      <c r="G24" s="24"/>
      <c r="H24" s="24"/>
      <c r="L24" s="21" t="str">
        <f>CONCATENATE(N24,"-",$P$7)</f>
        <v xml:space="preserve">1700-strieborná </v>
      </c>
      <c r="M24" s="24">
        <f>SUM(T21:T32)</f>
        <v>0</v>
      </c>
      <c r="N24" s="21">
        <v>1700</v>
      </c>
      <c r="P24" s="21" t="s">
        <v>652</v>
      </c>
      <c r="Q24" s="481" t="s">
        <v>653</v>
      </c>
      <c r="R24" s="21">
        <f>S8+T8</f>
        <v>-112</v>
      </c>
      <c r="S24" s="21" t="str">
        <f>IF(R24&gt;=D4,IF(SUM(S21:S23)&gt;0,"",1),"")</f>
        <v/>
      </c>
      <c r="T24" s="480" t="str">
        <f>IF(S24=1,1,"")</f>
        <v/>
      </c>
      <c r="U24" s="480" t="str">
        <f>IF(S24=1,1,"")</f>
        <v/>
      </c>
    </row>
    <row r="25" spans="1:22" ht="12.75" customHeight="1">
      <c r="A25" s="436"/>
      <c r="B25" s="17"/>
      <c r="D25" s="17"/>
      <c r="E25" s="17"/>
      <c r="F25" s="17"/>
      <c r="G25" s="452" t="str">
        <f>+System10!G25</f>
        <v>partnerská zľava:</v>
      </c>
      <c r="H25" s="24"/>
      <c r="L25" s="21" t="str">
        <f>CONCATENATE(N25,"-",$P$7)</f>
        <v xml:space="preserve">2350-strieborná </v>
      </c>
      <c r="M25" s="24">
        <f>SUM(U21:U32)</f>
        <v>0</v>
      </c>
      <c r="N25" s="21">
        <v>2350</v>
      </c>
      <c r="Q25" s="21" t="s">
        <v>689</v>
      </c>
      <c r="R25" s="21">
        <f>T8+T8</f>
        <v>-130</v>
      </c>
      <c r="S25" s="21" t="str">
        <f>IF(R25&gt;=D4,IF(SUM(S21:S24)&gt;0,"",1),"")</f>
        <v/>
      </c>
      <c r="U25" s="480" t="str">
        <f>IF(S25=1,2,"")</f>
        <v/>
      </c>
    </row>
    <row r="26" spans="1:22" ht="12.75" customHeight="1">
      <c r="A26" s="441" t="str">
        <f>+System10!$A$26</f>
        <v>Objednávacie kódy, ceny:</v>
      </c>
      <c r="B26" s="17"/>
      <c r="D26" s="17"/>
      <c r="E26" s="17"/>
      <c r="F26" s="17"/>
      <c r="G26" s="388">
        <f>profil!C15</f>
        <v>0</v>
      </c>
      <c r="H26" s="454" t="s">
        <v>70</v>
      </c>
      <c r="L26" s="21" t="str">
        <f>CONCATENATE(N26,"-",$P$7)</f>
        <v xml:space="preserve">3000-strieborná </v>
      </c>
      <c r="M26" s="24">
        <f>SUM(V21:V32)</f>
        <v>0</v>
      </c>
      <c r="N26" s="21">
        <v>3000</v>
      </c>
      <c r="O26" s="482"/>
      <c r="Q26" s="21" t="s">
        <v>654</v>
      </c>
      <c r="R26" s="21">
        <f>S8+U8</f>
        <v>-129</v>
      </c>
      <c r="S26" s="21" t="str">
        <f>IF(R26&gt;=D4,IF(SUM(S21:S25)&gt;0,"",1),"")</f>
        <v/>
      </c>
      <c r="T26" s="480" t="str">
        <f>IF(S26=1,1,"")</f>
        <v/>
      </c>
      <c r="V26" s="480" t="str">
        <f>IF(S26=1,1,"")</f>
        <v/>
      </c>
    </row>
    <row r="27" spans="1:22" ht="12.75" customHeight="1">
      <c r="A27" s="436"/>
      <c r="B27" s="19" t="str">
        <f>+System10!B27</f>
        <v>kód</v>
      </c>
      <c r="C27" s="20" t="str">
        <f>+System10!C27</f>
        <v>názov</v>
      </c>
      <c r="D27" s="19" t="str">
        <f>+System10!D27</f>
        <v>ks</v>
      </c>
      <c r="E27" s="19" t="str">
        <f>+System10!E27</f>
        <v>cena/ks</v>
      </c>
      <c r="F27" s="19" t="str">
        <f>+System10!F27</f>
        <v>cena celkom</v>
      </c>
      <c r="G27" s="20" t="str">
        <f>+System10!G27</f>
        <v>celkom netto:</v>
      </c>
      <c r="H27" s="24"/>
      <c r="I27" s="20" t="str">
        <f>texty!A29</f>
        <v>Poznámka:</v>
      </c>
      <c r="J27" s="18"/>
      <c r="L27" s="24"/>
      <c r="M27" s="21">
        <f>COUNT(M24,M25,M26)</f>
        <v>3</v>
      </c>
      <c r="N27" s="482"/>
      <c r="O27" s="482"/>
      <c r="Q27" s="21" t="s">
        <v>655</v>
      </c>
      <c r="R27" s="21">
        <f>T8+U8</f>
        <v>-147</v>
      </c>
      <c r="S27" s="21" t="str">
        <f>IF(R27&gt;=D4,IF(SUM(S21:S26)&gt;0,"",1),"")</f>
        <v/>
      </c>
      <c r="U27" s="480" t="str">
        <f>IF(S27=1,1,"")</f>
        <v/>
      </c>
      <c r="V27" s="480" t="str">
        <f>IF(S27=1,1,"")</f>
        <v/>
      </c>
    </row>
    <row r="28" spans="1:22" ht="12.75" customHeight="1">
      <c r="A28" s="436" t="str">
        <f>texty!$A$81</f>
        <v>Horný profil:</v>
      </c>
      <c r="B28" s="16">
        <f>+VLOOKUP(K5,data!$C$176:$D$190,2,0)</f>
        <v>89106</v>
      </c>
      <c r="C28" s="25" t="str">
        <f>+VLOOKUP(B28,cennik!$A:$G,2,FALSE)</f>
        <v>SEVROLL Gemini horné vedenie 1,7m strieborná</v>
      </c>
      <c r="D28" s="17">
        <v>1</v>
      </c>
      <c r="E28" s="92">
        <f>+VLOOKUP(B28,cennik!$A:$G,3,FALSE)</f>
        <v>16.077369999999998</v>
      </c>
      <c r="F28" s="92">
        <f>+E28*D28</f>
        <v>16.077369999999998</v>
      </c>
      <c r="G28" s="93">
        <f t="shared" ref="G28:G39" si="1">+F28*(100-$G$26)/100</f>
        <v>16.077369999999998</v>
      </c>
      <c r="H28" s="24" t="str">
        <f>cennik!$B$2</f>
        <v>EUR</v>
      </c>
      <c r="I28" s="483" t="str">
        <f>IFERROR(IF((VLOOKUP(B28,cennik!A:L,12,0))="O",texty!$A$250,""),"")</f>
        <v/>
      </c>
      <c r="J28" s="453" t="str">
        <f>IF(D28&gt;0,IF(VLOOKUP(B28,cennik!A:L,12,FALSE)="O",1,""),"")</f>
        <v/>
      </c>
      <c r="K28" s="196" t="str">
        <f>IF(D28&gt;0,IF(VLOOKUP(B28,cennik!A:L,12,FALSE)="O",1,""),"")</f>
        <v/>
      </c>
      <c r="L28" s="24"/>
      <c r="M28" s="482"/>
      <c r="N28" s="482"/>
      <c r="O28" s="482"/>
      <c r="Q28" s="21" t="s">
        <v>690</v>
      </c>
      <c r="R28" s="21">
        <f>U8+U8</f>
        <v>-164</v>
      </c>
      <c r="S28" s="21" t="str">
        <f>IF(R28&gt;=D4,IF(SUM(S21:S27)&gt;0,"",1),"")</f>
        <v/>
      </c>
      <c r="V28" s="480" t="str">
        <f>IF(S28=1,2,"")</f>
        <v/>
      </c>
    </row>
    <row r="29" spans="1:22" ht="12.75" customHeight="1">
      <c r="A29" s="436" t="str">
        <f>texty!$A$82</f>
        <v>spodný profil:</v>
      </c>
      <c r="B29" s="16">
        <f>+VLOOKUP(M5,data!$C$4:$D$73,2,0)</f>
        <v>84385</v>
      </c>
      <c r="C29" s="25" t="str">
        <f>IF($B$29=data!$D$54,texty!$A$239,+VLOOKUP($B$29,cennik!$A$3:$G$907,2,FALSE))</f>
        <v>SEVROLL Elegant spodné vedenie 1,7m striebor</v>
      </c>
      <c r="D29" s="17">
        <v>1</v>
      </c>
      <c r="E29" s="92">
        <f>IF(B29=data!$D$63,0,+VLOOKUP(B29,cennik!$A$3:$G$907,3,FALSE))</f>
        <v>9.0389999999999997</v>
      </c>
      <c r="F29" s="92">
        <f>+E29*D29</f>
        <v>9.0389999999999997</v>
      </c>
      <c r="G29" s="93">
        <f t="shared" si="1"/>
        <v>9.0389999999999997</v>
      </c>
      <c r="H29" s="24" t="str">
        <f>cennik!$B$2</f>
        <v>EUR</v>
      </c>
      <c r="I29" s="483" t="str">
        <f>IFERROR(IF((VLOOKUP(B29,cennik!A:L,12,0))="O",texty!$A$250,""),"")</f>
        <v/>
      </c>
      <c r="J29" s="453" t="str">
        <f>IF(D29&gt;0,IF(VLOOKUP(B29,cennik!A:L,12,FALSE)="O",1,""),"")</f>
        <v/>
      </c>
      <c r="K29" s="196" t="str">
        <f>IF(D29&gt;0,IF(VLOOKUP(B29,cennik!A:L,12,FALSE)="O",1,""),"")</f>
        <v/>
      </c>
      <c r="L29" s="24" t="s">
        <v>656</v>
      </c>
      <c r="M29" s="21" t="str">
        <f>IF(M24=0,IF(M25=0,L26,L25),L24)</f>
        <v xml:space="preserve">3000-strieborná </v>
      </c>
      <c r="N29" s="482">
        <f>IF(M29=L24,M24,IF(M29=L25,M25,IF(M29=L26,M26,"chyba")))</f>
        <v>0</v>
      </c>
      <c r="O29" s="482"/>
      <c r="P29" s="482"/>
      <c r="Q29" s="21" t="s">
        <v>691</v>
      </c>
      <c r="R29" s="21">
        <f>S8+S8+S8</f>
        <v>-141</v>
      </c>
      <c r="S29" s="21" t="str">
        <f>IF(R29&gt;=D4,IF(SUM(S21:S28)&gt;0,"",1),"")</f>
        <v/>
      </c>
      <c r="T29" s="480" t="str">
        <f>IF(S29=1,3,"")</f>
        <v/>
      </c>
    </row>
    <row r="30" spans="1:22" ht="12.75" customHeight="1">
      <c r="A30" s="436" t="str">
        <f>texty!$A$83</f>
        <v>krycí profil (maska):</v>
      </c>
      <c r="B30" s="16">
        <f>+VLOOKUP(M5,data!$C$90:$D$175,2,0)</f>
        <v>318657</v>
      </c>
      <c r="C30" s="25" t="str">
        <f>IF($B$30=data!$D$54,texty!$A$239,+VLOOKUP($B$30,cennik!$A$3:$G$907,2,FALSE))</f>
        <v>SEV-maska Elegant II 1,7m strieborná</v>
      </c>
      <c r="D30" s="17">
        <v>1</v>
      </c>
      <c r="E30" s="92">
        <f>IF(B30=data!$D$63,0,+VLOOKUP(B30,cennik!$A$3:$G$907,3,FALSE))</f>
        <v>2.8683800000000002</v>
      </c>
      <c r="F30" s="92">
        <f>+E30*D30</f>
        <v>2.8683800000000002</v>
      </c>
      <c r="G30" s="93">
        <f t="shared" si="1"/>
        <v>2.8683800000000002</v>
      </c>
      <c r="H30" s="24" t="str">
        <f>cennik!$B$2</f>
        <v>EUR</v>
      </c>
      <c r="I30" s="483" t="str">
        <f>IFERROR(IF((VLOOKUP(B30,cennik!A:L,12,0))="O",texty!$A$250,""),"")</f>
        <v/>
      </c>
      <c r="J30" s="453" t="str">
        <f>IF(D30&gt;0,IF(VLOOKUP(B30,cennik!A:L,12,FALSE)="O",1,""),"")</f>
        <v/>
      </c>
      <c r="K30" s="196" t="str">
        <f>IF(D30&gt;0,IF(VLOOKUP(B30,cennik!A:L,12,FALSE)="O",1,""),"")</f>
        <v/>
      </c>
      <c r="L30" s="24" t="s">
        <v>657</v>
      </c>
      <c r="M30" s="21" t="str">
        <f>IF(M29=L26,"jiné",IF(M29=L24,IF(M25&lt;&gt;0,L25,IF(M26&lt;&gt;0,L26,"jiné")),IF(M26&lt;&gt;0,L26,"jiné")))</f>
        <v>jiné</v>
      </c>
      <c r="N30" s="482">
        <f>IF(M30=L25,M25,IF(M30=L26,M26,IF(M30=L27,M27,0)))</f>
        <v>0</v>
      </c>
      <c r="O30" s="482"/>
      <c r="P30" s="482"/>
      <c r="Q30" s="21" t="s">
        <v>658</v>
      </c>
      <c r="R30" s="21">
        <f>S8+2*T8</f>
        <v>-177</v>
      </c>
      <c r="S30" s="21" t="str">
        <f>IF(R30&gt;=D4,IF(SUM(S21:S29)&gt;0,"",1),"")</f>
        <v/>
      </c>
      <c r="T30" s="480" t="str">
        <f>IF(S30=1,1,"")</f>
        <v/>
      </c>
      <c r="U30" s="480" t="str">
        <f>IF(S30=1,2,"")</f>
        <v/>
      </c>
    </row>
    <row r="31" spans="1:22" ht="12.75" customHeight="1">
      <c r="A31" s="436" t="str">
        <f>texty!$A$84</f>
        <v>horné vozíky (sady)</v>
      </c>
      <c r="B31" s="16">
        <v>228009</v>
      </c>
      <c r="C31" s="25" t="str">
        <f>+VLOOKUP(B31,cennik!$A:$G,2,FALSE)</f>
        <v>SEVROLL horný vozík Gemini symetr.10mm-2ks</v>
      </c>
      <c r="D31" s="17">
        <f>IF((D49+D50)&gt;D4,0,D4-(D49+D50))</f>
        <v>3</v>
      </c>
      <c r="E31" s="92">
        <f>+VLOOKUP(B31,cennik!$A:$G,3,FALSE)</f>
        <v>5.3269799999999998</v>
      </c>
      <c r="F31" s="92">
        <f t="shared" ref="F31:F39" si="2">+E31*D31</f>
        <v>15.98094</v>
      </c>
      <c r="G31" s="93">
        <f t="shared" si="1"/>
        <v>15.98094</v>
      </c>
      <c r="H31" s="24" t="str">
        <f>cennik!$B$2</f>
        <v>EUR</v>
      </c>
      <c r="I31" s="483" t="str">
        <f>IFERROR(IF((VLOOKUP(B31,cennik!A:L,12,0))="O",texty!$A$250,""),"")</f>
        <v/>
      </c>
      <c r="J31" s="453" t="str">
        <f>IF(D31&gt;0,IF(VLOOKUP(B31,cennik!A:L,12,FALSE)="O",1,""),"")</f>
        <v/>
      </c>
      <c r="K31" s="196" t="str">
        <f>IF(D31&gt;0,IF(VLOOKUP(B31,cennik!A:L,12,FALSE)="O",1,""),"")</f>
        <v/>
      </c>
      <c r="L31" s="24"/>
      <c r="M31" s="482"/>
      <c r="N31" s="482"/>
      <c r="O31" s="482"/>
      <c r="P31" s="482"/>
      <c r="Q31" s="21" t="s">
        <v>692</v>
      </c>
      <c r="R31" s="21">
        <f>T8+T8+T8</f>
        <v>-195</v>
      </c>
      <c r="S31" s="21" t="str">
        <f>IF(R31&gt;=D4,IF(SUM(S21:S30)&gt;0,"",1),"")</f>
        <v/>
      </c>
      <c r="U31" s="480" t="str">
        <f>IF(S31=1,3,"")</f>
        <v/>
      </c>
    </row>
    <row r="32" spans="1:22" ht="12.75" customHeight="1">
      <c r="A32" s="436" t="str">
        <f>texty!$A$85</f>
        <v>spodné vozíky (sada)</v>
      </c>
      <c r="B32" s="16">
        <f>IF(F4=M70,328321,229441)</f>
        <v>328321</v>
      </c>
      <c r="C32" s="25" t="str">
        <f>+VLOOKUP(B32,cennik!$A:$G,2,FALSE)</f>
        <v>SEV-spodní vozík WD10 V 2ks bez pozicionéru</v>
      </c>
      <c r="D32" s="17">
        <f>+D4</f>
        <v>3</v>
      </c>
      <c r="E32" s="92">
        <f>+VLOOKUP(B32,cennik!$A:$G,3,FALSE)</f>
        <v>6.1947299999999998</v>
      </c>
      <c r="F32" s="92">
        <f t="shared" si="2"/>
        <v>18.58419</v>
      </c>
      <c r="G32" s="93">
        <f t="shared" si="1"/>
        <v>18.58419</v>
      </c>
      <c r="H32" s="24" t="str">
        <f>cennik!$B$2</f>
        <v>EUR</v>
      </c>
      <c r="I32" s="483" t="str">
        <f>IFERROR(IF((VLOOKUP(B32,cennik!A:L,12,0))="O",texty!$A$250,""),"")</f>
        <v/>
      </c>
      <c r="J32" s="453" t="str">
        <f>IF(D32&gt;0,IF(VLOOKUP(B32,cennik!A:L,12,FALSE)="O",1,""),"")</f>
        <v/>
      </c>
      <c r="K32" s="196" t="str">
        <f>IF(D32&gt;0,IF(VLOOKUP(B32,cennik!A:L,12,FALSE)="O",1,""),"")</f>
        <v/>
      </c>
      <c r="L32" s="24"/>
      <c r="M32" s="482"/>
      <c r="N32" s="482"/>
      <c r="O32" s="482"/>
      <c r="P32" s="482"/>
      <c r="Q32" s="21" t="s">
        <v>659</v>
      </c>
      <c r="R32" s="21">
        <f>S8+2*U8</f>
        <v>-211</v>
      </c>
      <c r="S32" s="21" t="str">
        <f>IF(R32&gt;=D4,IF(SUM(S21:S31)&gt;0,"",1),"")</f>
        <v/>
      </c>
      <c r="T32" s="480" t="str">
        <f>IF(S32=1,1,"")</f>
        <v/>
      </c>
      <c r="V32" s="480" t="str">
        <f>IF(S32=1,2,"")</f>
        <v/>
      </c>
    </row>
    <row r="33" spans="1:16" ht="12.75" customHeight="1">
      <c r="A33" s="436" t="str">
        <f>+System10!$A$33</f>
        <v>dorazový kartáč</v>
      </c>
      <c r="B33" s="16">
        <v>98067</v>
      </c>
      <c r="C33" s="25" t="str">
        <f>+VLOOKUP(B33,cennik!$A:$G,2,FALSE)</f>
        <v>SEVROLL dorazový kartáč zásuvný 14,5x4mm</v>
      </c>
      <c r="D33" s="17">
        <f>CEILING((B4*D4*2/1000),1)</f>
        <v>0</v>
      </c>
      <c r="E33" s="92">
        <f>+VLOOKUP(B33,cennik!$A:$G,3,FALSE)</f>
        <v>0.17649000000000001</v>
      </c>
      <c r="F33" s="92">
        <f t="shared" si="2"/>
        <v>0</v>
      </c>
      <c r="G33" s="93">
        <f t="shared" si="1"/>
        <v>0</v>
      </c>
      <c r="H33" s="24" t="str">
        <f>cennik!$B$2</f>
        <v>EUR</v>
      </c>
      <c r="I33" s="483" t="str">
        <f>IFERROR(IF((VLOOKUP(B33,cennik!A:L,12,0))="O",texty!$A$250,""),"")</f>
        <v/>
      </c>
      <c r="J33" s="453" t="str">
        <f>IF(D33&gt;0,IF(VLOOKUP(B33,cennik!A:L,12,FALSE)="O",1,""),"")</f>
        <v/>
      </c>
      <c r="K33" s="196" t="str">
        <f>IF(D33&gt;0,IF(VLOOKUP(B33,cennik!A:L,12,FALSE)="O",1,""),"")</f>
        <v/>
      </c>
      <c r="L33" s="24"/>
    </row>
    <row r="34" spans="1:16" ht="12.75" customHeight="1">
      <c r="A34" s="436" t="str">
        <f>+System10!$A$34</f>
        <v>úchytková lišta</v>
      </c>
      <c r="B34" s="16">
        <f>+VLOOKUP(P7,data!$C$415:$D$419,2,0)</f>
        <v>98070</v>
      </c>
      <c r="C34" s="25" t="str">
        <f>+VLOOKUP(B34,cennik!$A:$G,2,FALSE)</f>
        <v>SEVROLL Gemini-2 úch.lišta 2,7m strieborná</v>
      </c>
      <c r="D34" s="17">
        <f>IF(B12&lt;=1347,D4*2/2,D4*2)</f>
        <v>3</v>
      </c>
      <c r="E34" s="92">
        <f>+VLOOKUP(B34,cennik!$A:$G,3,FALSE)</f>
        <v>20.39198</v>
      </c>
      <c r="F34" s="92">
        <f t="shared" si="2"/>
        <v>61.175939999999997</v>
      </c>
      <c r="G34" s="93">
        <f t="shared" si="1"/>
        <v>61.175939999999997</v>
      </c>
      <c r="H34" s="24" t="str">
        <f>cennik!$B$2</f>
        <v>EUR</v>
      </c>
      <c r="I34" s="483" t="str">
        <f>IFERROR(IF((VLOOKUP(B34,cennik!A:L,12,0))="O",texty!$A$250,""),"")</f>
        <v/>
      </c>
      <c r="J34" s="453" t="str">
        <f>IF(D34&gt;0,IF(VLOOKUP(B34,cennik!A:L,12,FALSE)="O",1,""),"")</f>
        <v/>
      </c>
      <c r="K34" s="196" t="str">
        <f>IF(D34&gt;0,IF(VLOOKUP(B34,cennik!A:L,12,FALSE)="O",1,""),"")</f>
        <v/>
      </c>
      <c r="L34" s="24"/>
    </row>
    <row r="35" spans="1:16" ht="12.75" customHeight="1">
      <c r="A35" s="436" t="str">
        <f>+System10!$A$35</f>
        <v>spojovacia skrutka</v>
      </c>
      <c r="B35" s="24">
        <v>89244</v>
      </c>
      <c r="C35" s="25" t="str">
        <f>+VLOOKUP(B35,cennik!$A:$G,2,FALSE)</f>
        <v>SEVROLL šroubovrut 6,3*32 -Sevroll a Simple</v>
      </c>
      <c r="D35" s="17">
        <f>+D4*4</f>
        <v>12</v>
      </c>
      <c r="E35" s="92">
        <f>+VLOOKUP(B35,cennik!$A:$G,3,FALSE)</f>
        <v>0.14462</v>
      </c>
      <c r="F35" s="92">
        <f t="shared" si="2"/>
        <v>1.7354400000000001</v>
      </c>
      <c r="G35" s="93">
        <f t="shared" si="1"/>
        <v>1.7354400000000001</v>
      </c>
      <c r="H35" s="24" t="str">
        <f>cennik!$B$2</f>
        <v>EUR</v>
      </c>
      <c r="I35" s="483" t="str">
        <f>IFERROR(IF((VLOOKUP(B35,cennik!A:L,12,0))="O",texty!$A$250,""),"")</f>
        <v/>
      </c>
      <c r="J35" s="453" t="str">
        <f>IF(D35&gt;0,IF(VLOOKUP(B35,cennik!A:L,12,FALSE)="O",1,""),"")</f>
        <v/>
      </c>
      <c r="K35" s="196" t="str">
        <f>IF(D35&gt;0,IF(VLOOKUP(B35,cennik!A:L,12,FALSE)="O",1,""),"")</f>
        <v/>
      </c>
      <c r="L35" s="23"/>
    </row>
    <row r="36" spans="1:16" ht="12.75" customHeight="1">
      <c r="A36" s="436" t="str">
        <f>+System10!$A$36</f>
        <v>horný profil rámu (vodiaca lišta)</v>
      </c>
      <c r="B36" s="16">
        <f>+VLOOKUP(M29,data!C262:D276,2,0)</f>
        <v>89234</v>
      </c>
      <c r="C36" s="25" t="str">
        <f>+VLOOKUP(B36,cennik!$A:$G,2,FALSE)</f>
        <v>SEVROLL-208 VOD.LIŠTA HOR 3M STRIEBOR.</v>
      </c>
      <c r="D36" s="65">
        <f>N29</f>
        <v>0</v>
      </c>
      <c r="E36" s="92">
        <f>+VLOOKUP(B36,cennik!$A:$G,3,FALSE)</f>
        <v>17.05725</v>
      </c>
      <c r="F36" s="92">
        <f t="shared" si="2"/>
        <v>0</v>
      </c>
      <c r="G36" s="93">
        <f t="shared" si="1"/>
        <v>0</v>
      </c>
      <c r="H36" s="24" t="str">
        <f>cennik!$B$2</f>
        <v>EUR</v>
      </c>
      <c r="I36" s="483" t="str">
        <f>IFERROR(IF((VLOOKUP(B36,cennik!A:L,12,0))="O",texty!$A$250,""),"")</f>
        <v/>
      </c>
      <c r="J36" s="453" t="str">
        <f>IF(D36&gt;0,IF(VLOOKUP(B36,cennik!A:L,12,FALSE)="O",1,""),"")</f>
        <v/>
      </c>
      <c r="K36" s="196" t="str">
        <f>IF(D36&gt;0,IF(VLOOKUP(B36,cennik!A:L,12,FALSE)="O",1,""),"")</f>
        <v/>
      </c>
      <c r="L36" s="23">
        <f>+System10!L22</f>
        <v>0</v>
      </c>
    </row>
    <row r="37" spans="1:16" ht="12.75" customHeight="1">
      <c r="A37" s="436" t="str">
        <f>+System10!$A$36</f>
        <v>horný profil rámu (vodiaca lišta)</v>
      </c>
      <c r="B37" s="16" t="str">
        <f>IF(M30="jiné","",+VLOOKUP(M30,data!C261:D275,2,0))</f>
        <v/>
      </c>
      <c r="C37" s="460" t="str">
        <f>IF(M30&lt;&gt;"jiné",+VLOOKUP(B37,cennik!$A:$G,2,FALSE),texty!$A$2)</f>
        <v>druhá lišta nieje potrebná</v>
      </c>
      <c r="D37" s="65">
        <f>N30</f>
        <v>0</v>
      </c>
      <c r="E37" s="461">
        <f>IF(M30&lt;&gt;"jiné",+VLOOKUP(B37,cennik!$A:$G,3,FALSE),0)</f>
        <v>0</v>
      </c>
      <c r="F37" s="92">
        <f t="shared" si="2"/>
        <v>0</v>
      </c>
      <c r="G37" s="93">
        <f t="shared" si="1"/>
        <v>0</v>
      </c>
      <c r="H37" s="24" t="str">
        <f>cennik!$B$2</f>
        <v>EUR</v>
      </c>
      <c r="I37" s="483" t="str">
        <f>IFERROR(IF((VLOOKUP(B37,cennik!A:L,12,0))="O",texty!$A$250,""),"")</f>
        <v/>
      </c>
      <c r="J37" s="453" t="str">
        <f>IF(D37&gt;0,IF(VLOOKUP(B37,cennik!A:L,12,FALSE)="O",1,""),"")</f>
        <v/>
      </c>
      <c r="K37" s="196" t="str">
        <f>IF(D37&gt;0,IF(VLOOKUP(B37,cennik!A:L,12,FALSE)="O",1,""),"")</f>
        <v/>
      </c>
      <c r="L37" s="23"/>
    </row>
    <row r="38" spans="1:16" ht="12.75" customHeight="1">
      <c r="A38" s="436" t="str">
        <f>+System10!A38</f>
        <v>horizontálny spodný profil rámu</v>
      </c>
      <c r="B38" s="24">
        <f>+VLOOKUP(M29,data!$C$315:$D$326,2,0)</f>
        <v>89224</v>
      </c>
      <c r="C38" s="25" t="str">
        <f>+VLOOKUP(B38,cennik!$A:$G,2,FALSE)</f>
        <v>SEVROLL spodná krycia lišta 3m strieborná</v>
      </c>
      <c r="D38" s="65">
        <f>N29</f>
        <v>0</v>
      </c>
      <c r="E38" s="92">
        <f>+VLOOKUP(B38,cennik!$A:$G,3,FALSE)</f>
        <v>28.03295</v>
      </c>
      <c r="F38" s="92">
        <f t="shared" si="2"/>
        <v>0</v>
      </c>
      <c r="G38" s="93">
        <f t="shared" si="1"/>
        <v>0</v>
      </c>
      <c r="H38" s="24" t="str">
        <f>cennik!$B$2</f>
        <v>EUR</v>
      </c>
      <c r="I38" s="483" t="str">
        <f>IFERROR(IF((VLOOKUP(B38,cennik!A:L,12,0))="O",texty!$A$250,""),"")</f>
        <v/>
      </c>
      <c r="J38" s="453" t="str">
        <f>IF(D38&gt;0,IF(VLOOKUP(B38,cennik!A:L,12,FALSE)="O",1,""),"")</f>
        <v/>
      </c>
      <c r="K38" s="196" t="str">
        <f>IF(D38&gt;0,IF(VLOOKUP(B38,cennik!A:L,12,FALSE)="O",1,""),"")</f>
        <v/>
      </c>
      <c r="L38" s="23" t="str">
        <f>+System10!L24</f>
        <v xml:space="preserve">1700-strieborná </v>
      </c>
    </row>
    <row r="39" spans="1:16" ht="12.75" customHeight="1">
      <c r="A39" s="436" t="str">
        <f>+System10!A39</f>
        <v>horizontálny spodný profil rámu</v>
      </c>
      <c r="B39" s="16" t="str">
        <f>IF(M30&lt;&gt;"jiné",+VLOOKUP(M30,data!$C$315:$D$326,2,0),"")</f>
        <v/>
      </c>
      <c r="C39" s="25" t="str">
        <f>IF(M30&lt;&gt;"jiné",+VLOOKUP(B39,cennik!$A:$G,2,FALSE),texty!A2)</f>
        <v>druhá lišta nieje potrebná</v>
      </c>
      <c r="D39" s="65">
        <f>N30</f>
        <v>0</v>
      </c>
      <c r="E39" s="461">
        <f>IF(M30&lt;&gt;"jiné",+VLOOKUP(B39,cennik!$A:$G,3,FALSE),0)</f>
        <v>0</v>
      </c>
      <c r="F39" s="92">
        <f t="shared" si="2"/>
        <v>0</v>
      </c>
      <c r="G39" s="93">
        <f t="shared" si="1"/>
        <v>0</v>
      </c>
      <c r="H39" s="24" t="str">
        <f>cennik!$B$2</f>
        <v>EUR</v>
      </c>
      <c r="I39" s="483" t="str">
        <f>IFERROR(IF((VLOOKUP(B39,cennik!A:L,12,0))="O",texty!$A$250,""),"")</f>
        <v/>
      </c>
      <c r="J39" s="453" t="str">
        <f>IF(D39&gt;0,IF(VLOOKUP(B39,cennik!A:L,12,FALSE)="O",1,""),"")</f>
        <v/>
      </c>
      <c r="K39" s="196" t="str">
        <f>IF(D39&gt;0,IF(VLOOKUP(B39,cennik!A:L,12,FALSE)="O",1,""),"")</f>
        <v/>
      </c>
      <c r="L39" s="23"/>
    </row>
    <row r="40" spans="1:16" ht="12.75" customHeight="1">
      <c r="E40" s="375"/>
      <c r="F40" s="375"/>
      <c r="G40" s="375"/>
      <c r="H40" s="24"/>
      <c r="I40" s="483" t="str">
        <f>IFERROR(IF((VLOOKUP(B40,cennik!A:L,12,0))="O",texty!$A$250,""),"")</f>
        <v/>
      </c>
      <c r="J40" s="453" t="str">
        <f>IF(D40&gt;0,IF(VLOOKUP(B40,cennik!A:L,12,FALSE)="O",1,""),"")</f>
        <v/>
      </c>
      <c r="K40" s="196"/>
      <c r="L40" s="23"/>
    </row>
    <row r="41" spans="1:16" ht="12.75" customHeight="1">
      <c r="A41" s="441" t="str">
        <f>texty!$A$66</f>
        <v>Voliteľné príslušenstvo:</v>
      </c>
      <c r="B41" s="16"/>
      <c r="D41" s="462" t="str">
        <f>+System10!D41</f>
        <v>zadajte počet:</v>
      </c>
      <c r="E41" s="92"/>
      <c r="F41" s="92"/>
      <c r="G41" s="375"/>
      <c r="H41" s="24"/>
      <c r="I41" s="483" t="str">
        <f>IFERROR(IF((VLOOKUP(B41,cennik!A:L,12,0))="O",texty!$A$250,""),"")</f>
        <v/>
      </c>
      <c r="J41" s="453"/>
      <c r="K41" s="196"/>
      <c r="L41" s="23"/>
    </row>
    <row r="42" spans="1:16" ht="12.75" customHeight="1">
      <c r="A42" s="436" t="str">
        <f>texty!A88</f>
        <v>pozicionér do horného vedenia</v>
      </c>
      <c r="B42" s="16">
        <v>298035</v>
      </c>
      <c r="C42" s="25" t="str">
        <f>+VLOOKUP(B42,cennik!$A:$G,2,FALSE)</f>
        <v>SEVROLL Fix pozicionér pre horný vozík tran.</v>
      </c>
      <c r="D42" s="387"/>
      <c r="E42" s="92">
        <f>+VLOOKUP(B42,cennik!$A:$G,3,FALSE)</f>
        <v>1.0605800000000001</v>
      </c>
      <c r="F42" s="97">
        <f t="shared" ref="F42:F50" si="3">+CEILING(D42,1)*E42</f>
        <v>0</v>
      </c>
      <c r="G42" s="93">
        <f t="shared" ref="G42:G54" si="4">+F42*(100-$G$26)/100</f>
        <v>0</v>
      </c>
      <c r="H42" s="24" t="str">
        <f>cennik!$B$2</f>
        <v>EUR</v>
      </c>
      <c r="I42" s="483" t="str">
        <f>IFERROR(IF((VLOOKUP(B42,cennik!A:L,12,0))="O",texty!$A$250,""),"")</f>
        <v/>
      </c>
      <c r="J42" s="453" t="str">
        <f>IF(D42&gt;0,IF(VLOOKUP(B42,cennik!A:L,12,FALSE)="O",1,""),"")</f>
        <v/>
      </c>
      <c r="K42" s="196" t="str">
        <f>IF(D42&gt;0,IF(VLOOKUP(B42,cennik!A:L,12,FALSE)="O",1,""),"")</f>
        <v/>
      </c>
      <c r="L42" s="23"/>
    </row>
    <row r="43" spans="1:16" ht="12.75" customHeight="1">
      <c r="A43" s="436" t="str">
        <f>+System10!$A$43</f>
        <v xml:space="preserve">pozicionér </v>
      </c>
      <c r="B43" s="16">
        <f>IF(F4="Gemini",387424,89063)</f>
        <v>89063</v>
      </c>
      <c r="C43" s="25" t="str">
        <f>+VLOOKUP(B43,cennik!$A:$G,2,FALSE)</f>
        <v>SEV - pozicionér HI-TEC</v>
      </c>
      <c r="D43" s="387"/>
      <c r="E43" s="92">
        <f>+VLOOKUP(B43,cennik!$A:$G,3,FALSE)</f>
        <v>0.31335000000000002</v>
      </c>
      <c r="F43" s="97">
        <f t="shared" si="3"/>
        <v>0</v>
      </c>
      <c r="G43" s="93">
        <f t="shared" si="4"/>
        <v>0</v>
      </c>
      <c r="H43" s="24" t="str">
        <f>cennik!$B$2</f>
        <v>EUR</v>
      </c>
      <c r="I43" s="483" t="str">
        <f>IFERROR(IF((VLOOKUP(B43,cennik!A:L,12,0))="O",texty!$A$250,""),"")</f>
        <v/>
      </c>
      <c r="J43" s="453" t="str">
        <f>IF(D43&gt;0,IF(VLOOKUP(B43,cennik!A:L,12,FALSE)="O",1,""),"")</f>
        <v/>
      </c>
      <c r="K43" s="196" t="str">
        <f>IF(D43&gt;0,IF(VLOOKUP(B43,cennik!A:L,12,FALSE)="O",1,""),"")</f>
        <v/>
      </c>
      <c r="L43" s="24"/>
    </row>
    <row r="44" spans="1:16" ht="12.75" customHeight="1">
      <c r="A44" s="436" t="str">
        <f>texty!$A$228</f>
        <v> Tlmič dorazu MINI do 25 kg (pár)</v>
      </c>
      <c r="B44" s="16">
        <v>318662</v>
      </c>
      <c r="C44" s="25" t="str">
        <f>+VLOOKUP(B44,cennik!$A:$G,2,FALSE)</f>
        <v>SEVROLL tlmič dorazu Mini SV25 - 2ks</v>
      </c>
      <c r="D44" s="387"/>
      <c r="E44" s="92">
        <f>+VLOOKUP(B44,cennik!$A:$G,3,FALSE)</f>
        <v>22.368510000000001</v>
      </c>
      <c r="F44" s="97">
        <f t="shared" si="3"/>
        <v>0</v>
      </c>
      <c r="G44" s="93">
        <f t="shared" si="4"/>
        <v>0</v>
      </c>
      <c r="H44" s="24" t="str">
        <f>cennik!$B$2</f>
        <v>EUR</v>
      </c>
      <c r="I44" s="483" t="str">
        <f>IFERROR(IF((VLOOKUP(B44,cennik!A:L,12,0))="O",texty!$A$250,""),"")</f>
        <v/>
      </c>
      <c r="J44" s="453" t="str">
        <f>IF(D44&gt;0,IF(VLOOKUP(B44,cennik!A:L,12,FALSE)="O",1,""),"")</f>
        <v/>
      </c>
      <c r="K44" s="196" t="str">
        <f>IF(D44&gt;0,IF(VLOOKUP(B44,cennik!A:L,12,FALSE)="O",1,""),"")</f>
        <v/>
      </c>
      <c r="L44" s="24"/>
      <c r="N44" s="482"/>
      <c r="P44" s="482"/>
    </row>
    <row r="45" spans="1:16" ht="12.75" customHeight="1">
      <c r="A45" s="436" t="str">
        <f>texty!$A$229</f>
        <v> Tlmič dorazu MINI do 40 kg (pár)</v>
      </c>
      <c r="B45" s="24">
        <v>283956</v>
      </c>
      <c r="C45" s="25" t="str">
        <f>+VLOOKUP(B45,cennik!$A:$G,2,FALSE)</f>
        <v>SEVROLL tlmič dorazu Mini SV40 - 2ks</v>
      </c>
      <c r="D45" s="387"/>
      <c r="E45" s="92">
        <f>+VLOOKUP(B45,cennik!$A:$G,3,FALSE)</f>
        <v>22.368510000000001</v>
      </c>
      <c r="F45" s="97">
        <f t="shared" si="3"/>
        <v>0</v>
      </c>
      <c r="G45" s="93">
        <f t="shared" si="4"/>
        <v>0</v>
      </c>
      <c r="H45" s="24" t="str">
        <f>cennik!$B$2</f>
        <v>EUR</v>
      </c>
      <c r="I45" s="483" t="str">
        <f>IFERROR(IF((VLOOKUP(B45,cennik!A:L,12,0))="O",texty!$A$250,""),"")</f>
        <v/>
      </c>
      <c r="J45" s="453" t="str">
        <f>IF(D45&gt;0,IF(VLOOKUP(B45,cennik!A:L,12,FALSE)="O",1,""),"")</f>
        <v/>
      </c>
      <c r="K45" s="196" t="str">
        <f>IF(D45&gt;0,IF(VLOOKUP(B45,cennik!A:L,12,FALSE)="O",1,""),"")</f>
        <v/>
      </c>
      <c r="L45" s="24"/>
    </row>
    <row r="46" spans="1:16" ht="12.75" customHeight="1">
      <c r="A46" s="436" t="str">
        <f>texty!$A$230</f>
        <v> Tlmič dorazu MINI do 60 kg (pár)</v>
      </c>
      <c r="B46" s="24">
        <v>351743</v>
      </c>
      <c r="C46" s="25" t="str">
        <f>+VLOOKUP(B46,cennik!$A:$G,2,FALSE)</f>
        <v/>
      </c>
      <c r="D46" s="387"/>
      <c r="E46" s="92">
        <f>+VLOOKUP(B46,cennik!$A:$G,3,FALSE)</f>
        <v>22.368510000000001</v>
      </c>
      <c r="F46" s="97">
        <f t="shared" si="3"/>
        <v>0</v>
      </c>
      <c r="G46" s="93">
        <f t="shared" si="4"/>
        <v>0</v>
      </c>
      <c r="H46" s="24" t="str">
        <f>cennik!$B$2</f>
        <v>EUR</v>
      </c>
      <c r="I46" s="483" t="str">
        <f>IFERROR(IF((VLOOKUP(B46,cennik!A:L,12,0))="O",texty!$A$250,""),"")</f>
        <v/>
      </c>
      <c r="J46" s="453" t="str">
        <f>IF(D46&gt;0,IF(VLOOKUP(B46,cennik!A:L,12,FALSE)="O",1,""),"")</f>
        <v/>
      </c>
      <c r="K46" s="196" t="str">
        <f>IF(D46&gt;0,IF(VLOOKUP(B46,cennik!A:L,12,FALSE)="O",1,""),"")</f>
        <v/>
      </c>
    </row>
    <row r="47" spans="1:16" ht="12.75" customHeight="1">
      <c r="A47" s="436" t="str">
        <f>texty!$A$231</f>
        <v> Tlmič pre stredné krídlo do 25 kg</v>
      </c>
      <c r="B47" s="24">
        <v>318663</v>
      </c>
      <c r="C47" s="25" t="str">
        <f>+VLOOKUP(B47,cennik!$A:$G,2,FALSE)</f>
        <v>SEVROLL tlmič Central 10/18mm obojst. 25 kg</v>
      </c>
      <c r="D47" s="387"/>
      <c r="E47" s="92">
        <f>+VLOOKUP(B47,cennik!$A:$G,3,FALSE)</f>
        <v>47.918750000000003</v>
      </c>
      <c r="F47" s="97">
        <f t="shared" si="3"/>
        <v>0</v>
      </c>
      <c r="G47" s="93">
        <f t="shared" si="4"/>
        <v>0</v>
      </c>
      <c r="H47" s="24" t="str">
        <f>cennik!$B$2</f>
        <v>EUR</v>
      </c>
      <c r="I47" s="483" t="str">
        <f>IFERROR(IF((VLOOKUP(B47,cennik!A:L,12,0))="O",texty!$A$250,""),"")</f>
        <v/>
      </c>
      <c r="J47" s="453" t="str">
        <f>IF(D47&gt;0,IF(VLOOKUP(B47,cennik!A:L,12,FALSE)="O",1,""),"")</f>
        <v/>
      </c>
      <c r="K47" s="196" t="str">
        <f>IF(D47&gt;0,IF(VLOOKUP(B47,cennik!A:L,12,FALSE)="O",1,""),"")</f>
        <v/>
      </c>
    </row>
    <row r="48" spans="1:16" ht="12.75" customHeight="1">
      <c r="A48" s="436" t="str">
        <f>texty!$A$232</f>
        <v> Tlmič pre stredné krídlo do 40 kg</v>
      </c>
      <c r="B48" s="24">
        <v>283955</v>
      </c>
      <c r="C48" s="25" t="str">
        <f>+VLOOKUP(B48,cennik!$A:$G,2,FALSE)</f>
        <v>SEVROLL tlmič Central 10/18mm obojst.25-40kg</v>
      </c>
      <c r="D48" s="387"/>
      <c r="E48" s="92">
        <f>+VLOOKUP(B48,cennik!$A:$G,3,FALSE)</f>
        <v>47.918750000000003</v>
      </c>
      <c r="F48" s="97">
        <f t="shared" si="3"/>
        <v>0</v>
      </c>
      <c r="G48" s="93">
        <f t="shared" si="4"/>
        <v>0</v>
      </c>
      <c r="H48" s="24" t="str">
        <f>cennik!$B$2</f>
        <v>EUR</v>
      </c>
      <c r="I48" s="483" t="str">
        <f>IFERROR(IF((VLOOKUP(B48,cennik!A:L,12,0))="O",texty!$A$250,""),"")</f>
        <v/>
      </c>
      <c r="J48" s="453" t="str">
        <f>IF(D48&gt;0,IF(VLOOKUP(B48,cennik!A:L,12,FALSE)="O",1,""),"")</f>
        <v/>
      </c>
      <c r="K48" s="196" t="str">
        <f>IF(D48&gt;0,IF(VLOOKUP(B48,cennik!A:L,12,FALSE)="O",1,""),"")</f>
        <v/>
      </c>
    </row>
    <row r="49" spans="1:12" ht="12.75" customHeight="1">
      <c r="A49" s="436" t="str">
        <f>texty!A97</f>
        <v>tlmič dorazu (pár) 25 kg</v>
      </c>
      <c r="B49" s="24">
        <v>227185</v>
      </c>
      <c r="C49" s="25" t="str">
        <f>+VLOOKUP(B49,cennik!$A:$G,2,FALSE)</f>
        <v>K-SEVROLL tlmič dorazu 10/18mm 14-25kg(L+P)</v>
      </c>
      <c r="D49" s="387"/>
      <c r="E49" s="92">
        <f>+VLOOKUP(B49,cennik!$A:$G,3,FALSE)</f>
        <v>0</v>
      </c>
      <c r="F49" s="97">
        <f t="shared" si="3"/>
        <v>0</v>
      </c>
      <c r="G49" s="93">
        <f t="shared" si="4"/>
        <v>0</v>
      </c>
      <c r="H49" s="24" t="str">
        <f>cennik!$B$2</f>
        <v>EUR</v>
      </c>
      <c r="I49" s="483" t="str">
        <f>IFERROR(IF((VLOOKUP(B49,cennik!A:L,12,0))="O",texty!$A$250,""),"")</f>
        <v/>
      </c>
      <c r="J49" s="453" t="str">
        <f>IF(D49&gt;0,IF(VLOOKUP(B49,cennik!A:L,12,FALSE)="O",1,""),"")</f>
        <v/>
      </c>
      <c r="K49" s="196" t="str">
        <f>IF(D49&gt;0,IF(VLOOKUP(B49,cennik!A:L,12,FALSE)="O",1,""),"")</f>
        <v/>
      </c>
      <c r="L49" s="24"/>
    </row>
    <row r="50" spans="1:12" ht="12.75" customHeight="1">
      <c r="A50" s="436" t="str">
        <f>texty!A98</f>
        <v>tlmič dorazu (pár) 50 kg</v>
      </c>
      <c r="B50" s="24">
        <v>227187</v>
      </c>
      <c r="C50" s="25" t="str">
        <f>+VLOOKUP(B50,cennik!$A:$G,2,FALSE)</f>
        <v>K-SEVROLL tlmič dorazu 10/18mm 25-50kg(L+P)</v>
      </c>
      <c r="D50" s="387"/>
      <c r="E50" s="92">
        <f>+VLOOKUP(B50,cennik!$A:$G,3,FALSE)</f>
        <v>0</v>
      </c>
      <c r="F50" s="97">
        <f t="shared" si="3"/>
        <v>0</v>
      </c>
      <c r="G50" s="93">
        <f t="shared" si="4"/>
        <v>0</v>
      </c>
      <c r="H50" s="24" t="str">
        <f>cennik!$B$2</f>
        <v>EUR</v>
      </c>
      <c r="I50" s="483" t="str">
        <f>IFERROR(IF((VLOOKUP(B50,cennik!A:L,12,0))="O",texty!$A$250,""),"")</f>
        <v/>
      </c>
      <c r="J50" s="453" t="str">
        <f>IF(D50&gt;0,IF(VLOOKUP(B50,cennik!A:L,12,FALSE)="O",1,""),"")</f>
        <v/>
      </c>
      <c r="K50" s="196" t="str">
        <f>IF(D50&gt;0,IF(VLOOKUP(B50,cennik!A:L,12,FALSE)="O",1,""),"")</f>
        <v/>
      </c>
      <c r="L50" s="24"/>
    </row>
    <row r="51" spans="1:12" ht="12.75" customHeight="1">
      <c r="A51" s="436" t="str">
        <f>texty!A100</f>
        <v>spojovací profil H10-3metre</v>
      </c>
      <c r="B51" s="16">
        <f>+VLOOKUP(P7,data!C390:D392,2,0)</f>
        <v>89236</v>
      </c>
      <c r="C51" s="25" t="str">
        <f>+VLOOKUP(B51,cennik!$A:$G,2,FALSE)</f>
        <v>SEVROLL- SPOJ.LIŠTA "H10" 3M STR.</v>
      </c>
      <c r="D51" s="473"/>
      <c r="E51" s="92">
        <f>+VLOOKUP(B51,cennik!$A:$G,3,FALSE)</f>
        <v>17.52046</v>
      </c>
      <c r="F51" s="92">
        <f>+E51*D51</f>
        <v>0</v>
      </c>
      <c r="G51" s="93">
        <f t="shared" si="4"/>
        <v>0</v>
      </c>
      <c r="H51" s="24" t="str">
        <f>cennik!$B$2</f>
        <v>EUR</v>
      </c>
      <c r="I51" s="483" t="str">
        <f>IFERROR(IF((VLOOKUP(B51,cennik!A:L,12,0))="O",texty!$A$250,""),"")</f>
        <v/>
      </c>
      <c r="J51" s="453" t="str">
        <f>IF(D51&gt;0,IF(VLOOKUP(B51,cennik!A:L,12,FALSE)="O",1,""),"")</f>
        <v/>
      </c>
      <c r="K51" s="196" t="str">
        <f>IF(D51&gt;0,IF(VLOOKUP(B51,cennik!A:L,12,FALSE)="O",1,""),"")</f>
        <v/>
      </c>
      <c r="L51" s="24"/>
    </row>
    <row r="52" spans="1:12" ht="12.75" customHeight="1">
      <c r="A52" s="436" t="str">
        <f>texty!A101</f>
        <v>spojovací profil H30-3metre</v>
      </c>
      <c r="B52" s="17">
        <f>+VLOOKUP(P7,data!C399:D401,2,0)</f>
        <v>89069</v>
      </c>
      <c r="C52" s="25" t="str">
        <f>IF($B$52=data!$D$54,texty!$A$239,+VLOOKUP($B$52,cennik!$A$3:$G$907,2,FALSE))</f>
        <v>SEVROLL-253S-SPOJ.LIŠTA H-30mm STR 3m</v>
      </c>
      <c r="D52" s="473"/>
      <c r="E52" s="92">
        <f>IF(B52=data!$D$63,0,+VLOOKUP(B52,cennik!$A$3:$G$907,3,FALSE))</f>
        <v>26.594049999999999</v>
      </c>
      <c r="F52" s="92">
        <f>+E52*D52</f>
        <v>0</v>
      </c>
      <c r="G52" s="93">
        <f t="shared" si="4"/>
        <v>0</v>
      </c>
      <c r="H52" s="24" t="str">
        <f>cennik!$B$2</f>
        <v>EUR</v>
      </c>
      <c r="I52" s="483" t="str">
        <f>IFERROR(IF((VLOOKUP(B52,cennik!A:L,12,0))="O",texty!$A$250,""),"")</f>
        <v/>
      </c>
      <c r="J52" s="453" t="str">
        <f>IF(D52&gt;0,IF(VLOOKUP(B52,cennik!A:L,12,FALSE)="O",1,""),"")</f>
        <v/>
      </c>
      <c r="K52" s="196" t="str">
        <f>IF(D52&gt;0,IF(VLOOKUP(B52,cennik!A:L,12,FALSE)="O",1,""),"")</f>
        <v/>
      </c>
      <c r="L52" s="24"/>
    </row>
    <row r="53" spans="1:12" ht="12.75" customHeight="1">
      <c r="A53" s="436" t="str">
        <f>texty!$A$92</f>
        <v>spojovacia skrutka</v>
      </c>
      <c r="B53" s="16">
        <v>89244</v>
      </c>
      <c r="C53" s="25" t="str">
        <f>+VLOOKUP(B53,cennik!$A:$G,2,FALSE)</f>
        <v>SEVROLL šroubovrut 6,3*32 -Sevroll a Simple</v>
      </c>
      <c r="D53" s="473"/>
      <c r="E53" s="92">
        <f>+VLOOKUP(B53,cennik!$A:$G,3,FALSE)</f>
        <v>0.14462</v>
      </c>
      <c r="F53" s="92">
        <f>+E53*D53</f>
        <v>0</v>
      </c>
      <c r="G53" s="93">
        <f t="shared" si="4"/>
        <v>0</v>
      </c>
      <c r="H53" s="24" t="str">
        <f>cennik!$B$2</f>
        <v>EUR</v>
      </c>
      <c r="I53" s="483" t="str">
        <f>IFERROR(IF((VLOOKUP(B53,cennik!A:L,12,0))="O",texty!$A$250,""),"")</f>
        <v/>
      </c>
      <c r="J53" s="453" t="str">
        <f>IF(D53&gt;0,IF(VLOOKUP(B53,cennik!A:L,12,FALSE)="O",1,""),"")</f>
        <v/>
      </c>
      <c r="K53" s="196" t="str">
        <f>IF(D53&gt;0,IF(VLOOKUP(B53,cennik!A:L,12,FALSE)="O",1,""),"")</f>
        <v/>
      </c>
      <c r="L53" s="24"/>
    </row>
    <row r="54" spans="1:12" ht="12.75" customHeight="1">
      <c r="A54" s="436" t="str">
        <f>texty!A240</f>
        <v>zámok posuvných dverí</v>
      </c>
      <c r="B54" s="17">
        <v>216363</v>
      </c>
      <c r="C54" s="25" t="str">
        <f>+VLOOKUP(B54,cennik!$A:$G,2,FALSE)</f>
        <v>SEVROLL zámok na posuvné dvere 18 mm</v>
      </c>
      <c r="D54" s="473"/>
      <c r="E54" s="92">
        <f>+VLOOKUP(B54,cennik!$A:$G,3,FALSE)</f>
        <v>17.186150000000001</v>
      </c>
      <c r="F54" s="92">
        <f>+E54*D54</f>
        <v>0</v>
      </c>
      <c r="G54" s="93">
        <f t="shared" si="4"/>
        <v>0</v>
      </c>
      <c r="H54" s="24" t="str">
        <f>cennik!$B$2</f>
        <v>EUR</v>
      </c>
      <c r="I54" s="483" t="str">
        <f>IFERROR(IF((VLOOKUP(B54,cennik!A:L,12,0))="O",texty!$A$250,""),"")</f>
        <v/>
      </c>
      <c r="J54" s="453" t="str">
        <f>IF(D54&gt;0,IF(VLOOKUP(B54,cennik!A:L,12,FALSE)="O",1,""),"")</f>
        <v/>
      </c>
      <c r="K54" s="196" t="str">
        <f>IF(D54&gt;0,IF(VLOOKUP(B54,cennik!A:L,12,FALSE)="O",1,""),"")</f>
        <v/>
      </c>
    </row>
    <row r="55" spans="1:12" ht="12.75" customHeight="1">
      <c r="I55" s="483" t="str">
        <f>IFERROR(IF((VLOOKUP(B55,cennik!A:L,12,0))="O",texty!$A$250,""),"")</f>
        <v/>
      </c>
      <c r="J55" s="453"/>
      <c r="K55" s="196"/>
    </row>
    <row r="56" spans="1:12" ht="12.75" customHeight="1">
      <c r="A56" s="443" t="str">
        <f>CONCATENATE(texty!$A$6,ROUND((C13/1000),1),texty!$A$8)</f>
        <v>Pokiaľ budete používať ako výplň sklo / zrkadlo, je nutné doobjednať tesnenie. Dĺžka tesnenia na jedno krídlo je -0,3m, pokiaľ je preskenných viac krídel, treba vynásobiť</v>
      </c>
      <c r="B56" s="42"/>
      <c r="C56" s="43"/>
      <c r="D56" s="42"/>
      <c r="E56" s="98"/>
      <c r="F56" s="98"/>
      <c r="G56" s="99"/>
      <c r="H56" s="24"/>
      <c r="I56" s="483" t="str">
        <f>IFERROR(IF((VLOOKUP(B56,cennik!A:L,12,0))="O",texty!$A$250,""),"")</f>
        <v/>
      </c>
      <c r="J56" s="453" t="str">
        <f>IF(D56&gt;0,IF(VLOOKUP(B56,cennik!A:L,12,FALSE)="O",1,""),"")</f>
        <v/>
      </c>
      <c r="K56" s="196"/>
    </row>
    <row r="57" spans="1:12" ht="12.75" customHeight="1">
      <c r="C57" s="463" t="str">
        <f>texty!$A$10</f>
        <v>Potrebná dĺžka tesnenia pri celkovom presklení (nutné objednať celé metre)</v>
      </c>
      <c r="D57" s="453">
        <f>CEILING(((B9+C9)*2/1000*D4),1)</f>
        <v>0</v>
      </c>
      <c r="E57" s="375"/>
      <c r="F57" s="375"/>
      <c r="G57" s="375"/>
      <c r="H57" s="24"/>
      <c r="I57" s="483" t="str">
        <f>IFERROR(IF((VLOOKUP(B57,cennik!A:L,12,0))="O",texty!$A$250,""),"")</f>
        <v/>
      </c>
      <c r="J57" s="453"/>
      <c r="K57" s="196"/>
      <c r="L57" s="24"/>
    </row>
    <row r="58" spans="1:12" ht="12.75" customHeight="1">
      <c r="A58" s="464" t="str">
        <f>texty!$A$12</f>
        <v>(pri kombináciach s H profilmi je nutné pripočítať potrebnú dĺžku - tesnenie musí byť po celom odvode každého skla</v>
      </c>
      <c r="B58" s="465"/>
      <c r="C58" s="466"/>
      <c r="D58" s="465"/>
      <c r="E58" s="455"/>
      <c r="F58" s="455"/>
      <c r="G58" s="455"/>
      <c r="H58" s="24"/>
      <c r="I58" s="483" t="str">
        <f>IFERROR(IF((VLOOKUP(B58,cennik!A:L,12,0))="O",texty!$A$250,""),"")</f>
        <v/>
      </c>
      <c r="J58" s="453" t="str">
        <f>IF(D58&gt;0,IF(VLOOKUP(B58,cennik!A:L,12,FALSE)="O",1,""),"")</f>
        <v/>
      </c>
      <c r="K58" s="196"/>
      <c r="L58" s="24"/>
    </row>
    <row r="59" spans="1:12" ht="12.75" customHeight="1">
      <c r="A59" s="436" t="str">
        <f>System10!A59</f>
        <v>tesnenie na sklo 4mm</v>
      </c>
      <c r="B59" s="17">
        <v>89238</v>
      </c>
      <c r="C59" s="25" t="str">
        <f>+VLOOKUP(B59,cennik!$A:$G,2,FALSE)</f>
        <v>SEVROLL tesnenie na sklo 10/4mm</v>
      </c>
      <c r="D59" s="474"/>
      <c r="E59" s="92">
        <f>+VLOOKUP(B59,cennik!$A:$G,3,FALSE)</f>
        <v>0.89917999999999998</v>
      </c>
      <c r="F59" s="97">
        <f>+CEILING(D59,1)*E59</f>
        <v>0</v>
      </c>
      <c r="G59" s="93">
        <f>+F59*(100-$G$26)/100</f>
        <v>0</v>
      </c>
      <c r="H59" s="24" t="str">
        <f>cennik!$B$2</f>
        <v>EUR</v>
      </c>
      <c r="I59" s="483" t="str">
        <f>IFERROR(IF((VLOOKUP(B59,cennik!A:L,12,0))="O",texty!$A$250,""),"")</f>
        <v/>
      </c>
      <c r="J59" s="453" t="str">
        <f>IF(D59&gt;0,IF(VLOOKUP(B59,cennik!A:L,12,FALSE)="O",1,""),"")</f>
        <v/>
      </c>
      <c r="K59" s="196" t="str">
        <f>IF(D59&gt;0,IF(VLOOKUP(B59,cennik!A:L,12,FALSE)="O",1,""),"")</f>
        <v/>
      </c>
      <c r="L59" s="24"/>
    </row>
    <row r="60" spans="1:12" ht="12.75" customHeight="1">
      <c r="A60" s="436" t="str">
        <f>texty!A103</f>
        <v>tesnenie na sklo 4,5 mm</v>
      </c>
      <c r="B60" s="17">
        <v>135164</v>
      </c>
      <c r="C60" s="25" t="str">
        <f>+VLOOKUP(B60,cennik!$A:$G,2,FALSE)</f>
        <v>SEVROLL- TESNENIE NA SKLO 4,5mm</v>
      </c>
      <c r="D60" s="474"/>
      <c r="E60" s="92">
        <f>+VLOOKUP(B60,cennik!$A:$G,3,FALSE)</f>
        <v>0.79542999999999997</v>
      </c>
      <c r="F60" s="97">
        <f>+CEILING(D60,1)*E60</f>
        <v>0</v>
      </c>
      <c r="G60" s="93">
        <f>+F60*(100-$G$26)/100</f>
        <v>0</v>
      </c>
      <c r="H60" s="24" t="str">
        <f>cennik!$B$2</f>
        <v>EUR</v>
      </c>
      <c r="I60" s="483" t="str">
        <f>IFERROR(IF((VLOOKUP(B60,cennik!A:L,12,0))="O",texty!$A$250,""),"")</f>
        <v/>
      </c>
      <c r="J60" s="453" t="str">
        <f>IF(D60&gt;0,IF(VLOOKUP(B60,cennik!A:L,12,FALSE)="O",1,""),"")</f>
        <v/>
      </c>
      <c r="K60" s="196" t="str">
        <f>IF(D60&gt;0,IF(VLOOKUP(B60,cennik!A:L,12,FALSE)="O",1,""),"")</f>
        <v/>
      </c>
      <c r="L60" s="24"/>
    </row>
    <row r="61" spans="1:12" ht="12.75" customHeight="1">
      <c r="A61" s="436" t="str">
        <f>System10!A61</f>
        <v>tesnenie na sklo 6mm</v>
      </c>
      <c r="B61" s="17">
        <v>89243</v>
      </c>
      <c r="C61" s="25" t="str">
        <f>+VLOOKUP(B61,cennik!$A:$G,2,FALSE)</f>
        <v>SEVROLL tesnenie na sklo 10/6mm</v>
      </c>
      <c r="D61" s="474"/>
      <c r="E61" s="92">
        <f>+VLOOKUP(B61,cennik!$A:$G,3,FALSE)</f>
        <v>0.89917999999999998</v>
      </c>
      <c r="F61" s="97">
        <f>+CEILING(D61,1)*E61</f>
        <v>0</v>
      </c>
      <c r="G61" s="93">
        <f>+F61*(100-$G$26)/100</f>
        <v>0</v>
      </c>
      <c r="H61" s="24" t="str">
        <f>cennik!$B$2</f>
        <v>EUR</v>
      </c>
      <c r="I61" s="483" t="str">
        <f>IFERROR(IF((VLOOKUP(B61,cennik!A:L,12,0))="O",texty!$A$250,""),"")</f>
        <v/>
      </c>
      <c r="J61" s="453" t="str">
        <f>IF(D61&gt;0,IF(VLOOKUP(B61,cennik!A:L,12,FALSE)="O",1,""),"")</f>
        <v/>
      </c>
      <c r="K61" s="196" t="str">
        <f>IF(D61&gt;0,IF(VLOOKUP(B61,cennik!A:L,12,FALSE)="O",1,""),"")</f>
        <v/>
      </c>
      <c r="L61" s="24"/>
    </row>
    <row r="62" spans="1:12" ht="12.75" customHeight="1">
      <c r="A62" s="285" t="str">
        <f>texty!$A$190</f>
        <v>Ďalšie príslušenstvo</v>
      </c>
      <c r="E62" s="375"/>
      <c r="F62" s="375"/>
      <c r="G62" s="375"/>
      <c r="H62" s="24"/>
      <c r="I62" s="483" t="str">
        <f>IFERROR(IF((VLOOKUP(B62,cennik!A:L,12,0))="O",texty!$A$250,""),"")</f>
        <v/>
      </c>
      <c r="J62" s="453" t="str">
        <f>IF(D62&gt;0,IF(VLOOKUP(B62,cennik!A:L,12,FALSE)="O",1,""),"")</f>
        <v/>
      </c>
      <c r="K62" s="196" t="str">
        <f>IF(D62&gt;0,IF(VLOOKUP(B62,cennik!A:L,12,FALSE)="O",1,""),"")</f>
        <v/>
      </c>
      <c r="L62" s="24"/>
    </row>
    <row r="63" spans="1:12" ht="12.75" customHeight="1">
      <c r="A63" s="285" t="str">
        <f>texty!$A$244</f>
        <v>Technický nákres tohoto systému</v>
      </c>
      <c r="B63" s="467">
        <v>129677</v>
      </c>
      <c r="C63" s="467" t="str">
        <f>VLOOKUP(B63,cennik!A:C,2,0)</f>
        <v>SEVROLL-MONT.PRÍPRAVOK NA DTD 10mm MALÝ</v>
      </c>
      <c r="D63" s="474"/>
      <c r="E63" s="92">
        <f>+VLOOKUP(B63,cennik!$A:$G,3,FALSE)</f>
        <v>5.60419</v>
      </c>
      <c r="F63" s="97">
        <f>+CEILING(D63,1)*E63</f>
        <v>0</v>
      </c>
      <c r="G63" s="93">
        <f>+F63</f>
        <v>0</v>
      </c>
      <c r="H63" s="24" t="str">
        <f>cennik!$B$2</f>
        <v>EUR</v>
      </c>
      <c r="I63" s="483" t="str">
        <f>IFERROR(IF((VLOOKUP(B63,cennik!A:L,12,0))="O",texty!$A$250,""),"")</f>
        <v/>
      </c>
      <c r="J63" s="453" t="str">
        <f>IF(D63&gt;0,IF(VLOOKUP(B63,cennik!A:L,12,FALSE)="O",1,""),"")</f>
        <v/>
      </c>
      <c r="K63" s="196" t="str">
        <f>IF(D63&gt;0,IF(VLOOKUP(B63,cennik!A:L,12,FALSE)="O",1,""),"")</f>
        <v/>
      </c>
      <c r="L63" s="24"/>
    </row>
    <row r="64" spans="1:12" ht="12.75" customHeight="1">
      <c r="B64" s="467">
        <v>128842</v>
      </c>
      <c r="C64" s="467" t="str">
        <f>VLOOKUP(B64,cennik!A:C,2,0)</f>
        <v>SEVROLL-VRTÁK STUPŇOVITÝ 6,5/9,5mm</v>
      </c>
      <c r="D64" s="474"/>
      <c r="E64" s="92">
        <f>+VLOOKUP(B64,cennik!$A:$G,3,FALSE)</f>
        <v>23.986910000000002</v>
      </c>
      <c r="F64" s="97">
        <f>+CEILING(D64,1)*E64</f>
        <v>0</v>
      </c>
      <c r="G64" s="93">
        <f>+F64</f>
        <v>0</v>
      </c>
      <c r="H64" s="24" t="str">
        <f>cennik!$B$2</f>
        <v>EUR</v>
      </c>
      <c r="I64" s="483" t="str">
        <f>IFERROR(IF((VLOOKUP(B64,cennik!A:L,12,0))="O",texty!$A$250,""),"")</f>
        <v/>
      </c>
      <c r="J64" s="453" t="str">
        <f>IF(D64&gt;0,IF(VLOOKUP(B64,cennik!A:L,12,FALSE)="O",1,""),"")</f>
        <v/>
      </c>
      <c r="K64" s="196" t="str">
        <f>IF(D64&gt;0,IF(VLOOKUP(B64,cennik!A:L,12,FALSE)="O",1,""),"")</f>
        <v/>
      </c>
      <c r="L64" s="23"/>
    </row>
    <row r="65" spans="1:14" ht="12.75" customHeight="1">
      <c r="A65" s="483" t="str">
        <f>IF(SUM(D49:D50)&gt;0,IF(C7&lt;(B4/3),texty!$A$212,""),"")</f>
        <v/>
      </c>
      <c r="B65" s="483"/>
      <c r="C65" s="483"/>
      <c r="D65" s="483"/>
      <c r="E65" s="483"/>
      <c r="F65" s="483"/>
      <c r="G65" s="483"/>
      <c r="H65" s="483"/>
      <c r="I65" s="483"/>
      <c r="J65" s="483"/>
      <c r="K65" s="196"/>
      <c r="L65" s="24"/>
    </row>
    <row r="66" spans="1:14" ht="13">
      <c r="B66" s="17"/>
      <c r="C66" s="17"/>
      <c r="D66" s="469" t="str">
        <f>texty!$A$15</f>
        <v>CELKOM  (bez DPH)</v>
      </c>
      <c r="E66" s="455"/>
      <c r="F66" s="102">
        <f>SUM(F28:F64)</f>
        <v>125.46126</v>
      </c>
      <c r="G66" s="102">
        <f>SUM(G28:G64)</f>
        <v>125.46126</v>
      </c>
      <c r="H66" s="24" t="str">
        <f>cennik!$B$2</f>
        <v>EUR</v>
      </c>
      <c r="I66" s="21"/>
      <c r="L66" s="24"/>
    </row>
    <row r="67" spans="1:14" ht="12.75" customHeight="1">
      <c r="A67" s="456" t="str">
        <f>System10!$A$67</f>
        <v>Vaša poznámka:</v>
      </c>
      <c r="B67" s="650"/>
      <c r="C67" s="651"/>
      <c r="D67" s="651"/>
      <c r="E67" s="651"/>
      <c r="F67" s="651"/>
      <c r="G67" s="652"/>
      <c r="H67" s="23"/>
      <c r="L67" s="24"/>
    </row>
    <row r="68" spans="1:14" ht="12.75" customHeight="1">
      <c r="A68" s="639">
        <f>profil!$U$15</f>
        <v>0</v>
      </c>
      <c r="B68" s="640"/>
      <c r="C68" s="640"/>
      <c r="D68" s="640"/>
      <c r="E68" s="640"/>
      <c r="F68" s="640"/>
      <c r="G68" s="640"/>
      <c r="H68" s="640"/>
      <c r="L68" s="24"/>
    </row>
    <row r="69" spans="1:14" ht="12.75" customHeight="1">
      <c r="A69" s="641" t="str">
        <f>IF(N73=1,texty!$A$215,IF(K73&gt;0,texty!$A$214,""))</f>
        <v/>
      </c>
      <c r="B69" s="641"/>
      <c r="C69" s="641"/>
      <c r="D69" s="641"/>
      <c r="E69" s="641"/>
      <c r="F69" s="641"/>
      <c r="G69" s="641"/>
      <c r="H69" s="641"/>
      <c r="K69" s="483"/>
    </row>
    <row r="70" spans="1:14" ht="12.75" hidden="1" customHeight="1">
      <c r="I70" s="21"/>
      <c r="J70" s="21"/>
      <c r="L70" s="21" t="str">
        <f>texty!A128</f>
        <v xml:space="preserve">strieborná </v>
      </c>
      <c r="M70" s="21" t="s">
        <v>2884</v>
      </c>
    </row>
    <row r="71" spans="1:14" ht="12.75" hidden="1" customHeight="1">
      <c r="I71" s="21"/>
      <c r="J71" s="21"/>
      <c r="L71" s="21" t="str">
        <f>texty!A129</f>
        <v>zlatá</v>
      </c>
      <c r="M71" s="21" t="s">
        <v>45</v>
      </c>
    </row>
    <row r="72" spans="1:14" ht="12.75" hidden="1" customHeight="1">
      <c r="I72" s="21"/>
      <c r="J72" s="21"/>
      <c r="L72" s="21" t="str">
        <f>texty!A130</f>
        <v>oliva</v>
      </c>
    </row>
    <row r="73" spans="1:14" ht="12.75" hidden="1" customHeight="1">
      <c r="I73" s="21"/>
      <c r="J73" s="21"/>
      <c r="K73" s="24">
        <f>SUM(K27:K64)</f>
        <v>0</v>
      </c>
      <c r="N73" s="21">
        <f>IF(ISERROR(K73),1,0)</f>
        <v>0</v>
      </c>
    </row>
  </sheetData>
  <sheetProtection algorithmName="SHA-512" hashValue="AGMELkWBakVBYmiuSbcykDtRHKMi1IhBgA0Un4rAwUzh1Ye2xUoVPqmWDH8lYZZuGXmGUeaO+mbpwiXWOvemig==" saltValue="+Z3B1VHEHzrJ+D9QH082Hg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D6">
    <cfRule type="expression" dxfId="235" priority="13">
      <formula>$D$4=4</formula>
    </cfRule>
    <cfRule type="expression" dxfId="234" priority="14">
      <formula>$D$4&lt;&gt;4</formula>
    </cfRule>
  </conditionalFormatting>
  <conditionalFormatting sqref="G4">
    <cfRule type="expression" dxfId="233" priority="12">
      <formula>$D$4=4</formula>
    </cfRule>
  </conditionalFormatting>
  <conditionalFormatting sqref="I19:I20">
    <cfRule type="expression" dxfId="232" priority="6">
      <formula>$F$4=$M$71</formula>
    </cfRule>
  </conditionalFormatting>
  <conditionalFormatting sqref="I21:I22">
    <cfRule type="expression" dxfId="231" priority="21">
      <formula>$F$4=$M$70</formula>
    </cfRule>
  </conditionalFormatting>
  <conditionalFormatting sqref="A14">
    <cfRule type="expression" dxfId="230" priority="3">
      <formula>SUM($D$47:$D$48)&gt;0</formula>
    </cfRule>
  </conditionalFormatting>
  <dataValidations count="7">
    <dataValidation type="list" allowBlank="1" showInputMessage="1" showErrorMessage="1" sqref="E6:F6" xr:uid="{00000000-0002-0000-0700-000000000000}">
      <formula1>"stříbrná,zlatá,oliva"</formula1>
      <formula2>0</formula2>
    </dataValidation>
    <dataValidation type="list" allowBlank="1" showInputMessage="1" showErrorMessage="1" sqref="E4" xr:uid="{00000000-0002-0000-0700-000001000000}">
      <formula1>$L$70:$L$72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imální výška je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$M$70:$M$71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1C8956E-E34A-4E40-9179-5686C507C0CA}">
            <xm:f>$I28=texty!$A$250</xm:f>
            <x14:dxf>
              <font>
                <color rgb="FFFF0000"/>
              </font>
            </x14:dxf>
          </x14:cfRule>
          <xm:sqref>I28:I64</xm:sqref>
        </x14:conditionalFormatting>
        <x14:conditionalFormatting xmlns:xm="http://schemas.microsoft.com/office/excel/2006/main">
          <x14:cfRule type="expression" priority="1" id="{32F6E52B-B6AE-40B4-A2FE-8349A7836802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47</vt:i4>
      </vt:variant>
      <vt:variant>
        <vt:lpstr>Pojmenované oblasti</vt:lpstr>
      </vt:variant>
      <vt:variant>
        <vt:i4>39</vt:i4>
      </vt:variant>
    </vt:vector>
  </HeadingPairs>
  <TitlesOfParts>
    <vt:vector size="86" baseType="lpstr">
      <vt:lpstr>cennik</vt:lpstr>
      <vt:lpstr>texty</vt:lpstr>
      <vt:lpstr>profil</vt:lpstr>
      <vt:lpstr>Pax</vt:lpstr>
      <vt:lpstr>System10</vt:lpstr>
      <vt:lpstr>Vitara</vt:lpstr>
      <vt:lpstr>Lynx</vt:lpstr>
      <vt:lpstr>data</vt:lpstr>
      <vt:lpstr>Gemini</vt:lpstr>
      <vt:lpstr>Lux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Prosper</vt:lpstr>
      <vt:lpstr>Rex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Orient</vt:lpstr>
      <vt:lpstr>Elegant</vt:lpstr>
      <vt:lpstr>Minicomfort II</vt:lpstr>
      <vt:lpstr>Comfort II</vt:lpstr>
      <vt:lpstr>Unicomfort II</vt:lpstr>
      <vt:lpstr>Era (bezrámová)</vt:lpstr>
      <vt:lpstr>Rekord (bezrámový)</vt:lpstr>
      <vt:lpstr>Era (rámová)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Fox!barva</vt:lpstr>
      <vt:lpstr>Lux!barva</vt:lpstr>
      <vt:lpstr>Pax!barva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(bezrámová)'!barva_7</vt:lpstr>
      <vt:lpstr>'Era (rámová)'!barva_7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Elegant!barva_8</vt:lpstr>
      <vt:lpstr>Ergo!barva_8</vt:lpstr>
      <vt:lpstr>'Factor 18 II'!barva_8</vt:lpstr>
      <vt:lpstr>'Fiona II'!barva_8</vt:lpstr>
      <vt:lpstr>'Focus II'!barva_8</vt:lpstr>
      <vt:lpstr>'Oaza II'!barva_8</vt:lpstr>
      <vt:lpstr>Orient!barva_8</vt:lpstr>
      <vt:lpstr>Prosper!barva_8</vt:lpstr>
      <vt:lpstr>Rex!barva_8</vt:lpstr>
      <vt:lpstr>Tytan!barva_8</vt:lpstr>
      <vt:lpstr>Universal!barva_8</vt:lpstr>
      <vt:lpstr>Victoria!barva_8</vt:lpstr>
      <vt:lpstr>barva_8</vt:lpstr>
      <vt:lpstr>'Fiona II'!Oblast_tisku</vt:lpstr>
      <vt:lpstr>profil!Oblast_tisku</vt:lpstr>
      <vt:lpstr>System10!Oblast_tisku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Microsoft Office User</cp:lastModifiedBy>
  <cp:lastPrinted>2020-02-10T14:29:29Z</cp:lastPrinted>
  <dcterms:created xsi:type="dcterms:W3CDTF">2009-03-23T13:24:16Z</dcterms:created>
  <dcterms:modified xsi:type="dcterms:W3CDTF">2022-07-01T07:04:51Z</dcterms:modified>
  <cp:contentStatus/>
</cp:coreProperties>
</file>